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Wet7\"/>
    </mc:Choice>
  </mc:AlternateContent>
  <xr:revisionPtr revIDLastSave="0" documentId="8_{CAB425FB-F139-4940-A95F-0425D5972212}" xr6:coauthVersionLast="45" xr6:coauthVersionMax="45" xr10:uidLastSave="{00000000-0000-0000-0000-000000000000}"/>
  <bookViews>
    <workbookView xWindow="-120" yWindow="-120" windowWidth="20730" windowHeight="11160" tabRatio="686" firstSheet="1" activeTab="10" xr2:uid="{00000000-000D-0000-FFFF-FFFF00000000}"/>
  </bookViews>
  <sheets>
    <sheet name="January" sheetId="4" r:id="rId1"/>
    <sheet name="February" sheetId="5" r:id="rId2"/>
    <sheet name="March" sheetId="17" r:id="rId3"/>
    <sheet name="April" sheetId="18" r:id="rId4"/>
    <sheet name="May" sheetId="19" r:id="rId5"/>
    <sheet name="June" sheetId="20" r:id="rId6"/>
    <sheet name="July" sheetId="21" r:id="rId7"/>
    <sheet name="August" sheetId="22" r:id="rId8"/>
    <sheet name="September" sheetId="23" r:id="rId9"/>
    <sheet name="October" sheetId="24" r:id="rId10"/>
    <sheet name="November" sheetId="25" r:id="rId11"/>
    <sheet name="December" sheetId="15" r:id="rId12"/>
    <sheet name="Employee Names" sheetId="16" r:id="rId13"/>
  </sheets>
  <definedNames>
    <definedName name="CalendarYear">January!$AH$4</definedName>
    <definedName name="ColumnTitle13">EmployeeName[[#Headers],[Employee Names]]</definedName>
    <definedName name="Employee_Absence_Title">January!$B$1</definedName>
    <definedName name="Key_name">January!$B$2</definedName>
    <definedName name="KeyCustom1">January!$N$2</definedName>
    <definedName name="KeyCustom1Label">January!$O$2</definedName>
    <definedName name="KeyCustom2">January!$R$2</definedName>
    <definedName name="KeyCustom2Label">January!$S$2</definedName>
    <definedName name="KeyPersonal">January!$G$2</definedName>
    <definedName name="KeyPersonalLabel">January!$H$2</definedName>
    <definedName name="KeySick">January!$K$2</definedName>
    <definedName name="KeySickLabel">January!$L$2</definedName>
    <definedName name="KeyVacation">January!$C$2</definedName>
    <definedName name="KeyVacationLabel">January!$D$2</definedName>
    <definedName name="MonthName" localSheetId="3">April!$B$4</definedName>
    <definedName name="MonthName" localSheetId="7">August!$B$4</definedName>
    <definedName name="MonthName" localSheetId="11">December!$B$4</definedName>
    <definedName name="MonthName" localSheetId="1">February!$B$4</definedName>
    <definedName name="MonthName" localSheetId="0">January!$B$4</definedName>
    <definedName name="MonthName" localSheetId="6">July!$B$4</definedName>
    <definedName name="MonthName" localSheetId="5">June!$B$4</definedName>
    <definedName name="MonthName" localSheetId="2">March!$B$4</definedName>
    <definedName name="MonthName" localSheetId="4">May!$B$4</definedName>
    <definedName name="MonthName" localSheetId="10">November!$B$4</definedName>
    <definedName name="MonthName" localSheetId="9">October!$B$4</definedName>
    <definedName name="MonthName" localSheetId="8">September!$B$4</definedName>
    <definedName name="_xlnm.Print_Titles" localSheetId="3">April!$4:$6</definedName>
    <definedName name="_xlnm.Print_Titles" localSheetId="7">August!$4:$6</definedName>
    <definedName name="_xlnm.Print_Titles" localSheetId="11">December!$4:$6</definedName>
    <definedName name="_xlnm.Print_Titles" localSheetId="1">February!$4:$6</definedName>
    <definedName name="_xlnm.Print_Titles" localSheetId="0">January!$4:$6</definedName>
    <definedName name="_xlnm.Print_Titles" localSheetId="6">July!$4:$6</definedName>
    <definedName name="_xlnm.Print_Titles" localSheetId="5">June!$4:$6</definedName>
    <definedName name="_xlnm.Print_Titles" localSheetId="2">March!$4:$6</definedName>
    <definedName name="_xlnm.Print_Titles" localSheetId="4">May!$4:$6</definedName>
    <definedName name="_xlnm.Print_Titles" localSheetId="10">November!$4:$6</definedName>
    <definedName name="_xlnm.Print_Titles" localSheetId="9">October!$4:$6</definedName>
    <definedName name="_xlnm.Print_Titles" localSheetId="8">September!$4:$6</definedName>
    <definedName name="Title1">January[[#Headers],[Employee Name]]</definedName>
    <definedName name="Title10">October[[#Headers],[Employee Name]]</definedName>
    <definedName name="Title11">November[[#Headers],[Employee Name]]</definedName>
    <definedName name="Title12">December[[#Headers],[Employee Name]]</definedName>
    <definedName name="Title2">February[[#Headers],[Employee Name]]</definedName>
    <definedName name="Title3">March[[#Headers],[Employee Name]]</definedName>
    <definedName name="Title4">April[[#Headers],[Employee Name]]</definedName>
    <definedName name="Title5">May[[#Headers],[Employee Name]]</definedName>
    <definedName name="Title6">June[[#Headers],[Employee Name]]</definedName>
    <definedName name="Title7">July[[#Headers],[Employee Name]]</definedName>
    <definedName name="Title8">August[[#Headers],[Employee Name]]</definedName>
    <definedName name="Title9">September[[#Headers],[Employee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5" l="1"/>
  <c r="AH9" i="4" l="1"/>
  <c r="AH10" i="4"/>
  <c r="B12" i="23" l="1"/>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H11" i="25"/>
  <c r="AH10" i="25"/>
  <c r="AH9" i="25"/>
  <c r="AH8" i="25"/>
  <c r="AH7" i="25"/>
  <c r="AH4" i="25"/>
  <c r="B1" i="25"/>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H11" i="24"/>
  <c r="AH10" i="24"/>
  <c r="AH9" i="24"/>
  <c r="AH8" i="24"/>
  <c r="AH7" i="24"/>
  <c r="AH4" i="24"/>
  <c r="B1" i="24"/>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AG12"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AH11" i="23"/>
  <c r="AH10" i="23"/>
  <c r="AH9" i="23"/>
  <c r="AH8" i="23"/>
  <c r="AH7" i="23"/>
  <c r="AH4" i="23"/>
  <c r="B1" i="23"/>
  <c r="AG5"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H11" i="22"/>
  <c r="AH10" i="22"/>
  <c r="AH9" i="22"/>
  <c r="AH8" i="22"/>
  <c r="AH7" i="22"/>
  <c r="AH4" i="22"/>
  <c r="B1" i="22"/>
  <c r="AG5" i="21"/>
  <c r="AF5" i="21"/>
  <c r="AE5" i="21"/>
  <c r="AD5" i="21"/>
  <c r="AC5" i="21"/>
  <c r="AB5" i="21"/>
  <c r="AA5" i="21"/>
  <c r="Z5" i="21"/>
  <c r="Y5" i="21"/>
  <c r="X5" i="21"/>
  <c r="W5" i="21"/>
  <c r="V5" i="21"/>
  <c r="U5" i="21"/>
  <c r="T5" i="21"/>
  <c r="S5" i="21"/>
  <c r="R5" i="21"/>
  <c r="Q5" i="21"/>
  <c r="P5" i="21"/>
  <c r="O5" i="21"/>
  <c r="N5" i="21"/>
  <c r="M5" i="21"/>
  <c r="L5" i="21"/>
  <c r="K5" i="21"/>
  <c r="J5" i="21"/>
  <c r="I5" i="21"/>
  <c r="H5" i="21"/>
  <c r="G5" i="21"/>
  <c r="F5" i="21"/>
  <c r="E5" i="21"/>
  <c r="D5" i="21"/>
  <c r="C5" i="2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B12" i="21"/>
  <c r="AH11" i="21"/>
  <c r="AH10" i="21"/>
  <c r="AH9" i="21"/>
  <c r="AH8" i="21"/>
  <c r="AH7" i="21"/>
  <c r="AH4" i="21"/>
  <c r="B1" i="21"/>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H11" i="20"/>
  <c r="AH10" i="20"/>
  <c r="AH9" i="20"/>
  <c r="AH8" i="20"/>
  <c r="AH7" i="20"/>
  <c r="AH4" i="20"/>
  <c r="B1" i="20"/>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H11" i="19"/>
  <c r="AH10" i="19"/>
  <c r="AH9" i="19"/>
  <c r="AH8" i="19"/>
  <c r="AH7" i="19"/>
  <c r="AH4" i="19"/>
  <c r="B1" i="19"/>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AH11" i="18"/>
  <c r="AH10" i="18"/>
  <c r="AH9" i="18"/>
  <c r="AH8" i="18"/>
  <c r="AH7" i="18"/>
  <c r="AH4" i="18"/>
  <c r="B1" i="18"/>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H11" i="17"/>
  <c r="AH10" i="17"/>
  <c r="AH9" i="17"/>
  <c r="AH8" i="17"/>
  <c r="AH7" i="17"/>
  <c r="AH4" i="17"/>
  <c r="B1" i="17"/>
  <c r="B1" i="5"/>
  <c r="AH12" i="17" l="1"/>
  <c r="AH12" i="18"/>
  <c r="AH12" i="21"/>
  <c r="AH12" i="23"/>
  <c r="AH12" i="22"/>
  <c r="AH12" i="25"/>
  <c r="AH12" i="20"/>
  <c r="AH12" i="19"/>
  <c r="AH12" i="24"/>
  <c r="AB5" i="5"/>
  <c r="AH4" i="5" l="1"/>
  <c r="AH4" i="15" l="1"/>
  <c r="C12" i="4" l="1"/>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G12" i="15" l="1"/>
  <c r="AF12" i="15"/>
  <c r="AH7" i="15"/>
  <c r="AH8" i="15"/>
  <c r="AH9" i="15"/>
  <c r="AH10" i="15"/>
  <c r="AH11" i="15"/>
  <c r="AH12" i="15" l="1"/>
  <c r="C12" i="15"/>
  <c r="D12" i="15"/>
  <c r="E12" i="15"/>
  <c r="F12" i="15"/>
  <c r="G12" i="15"/>
  <c r="H12" i="15"/>
  <c r="I12" i="15"/>
  <c r="J12" i="15"/>
  <c r="K12" i="15"/>
  <c r="L12" i="15"/>
  <c r="M12" i="15"/>
  <c r="N12" i="15"/>
  <c r="O12" i="15"/>
  <c r="P12" i="15"/>
  <c r="Q12" i="15"/>
  <c r="R12" i="15"/>
  <c r="S12" i="15"/>
  <c r="T12" i="15"/>
  <c r="U12" i="15"/>
  <c r="V12" i="15"/>
  <c r="W12" i="15"/>
  <c r="X12" i="15"/>
  <c r="Y12" i="15"/>
  <c r="Z12" i="15"/>
  <c r="AA12" i="15"/>
  <c r="AB12" i="15"/>
  <c r="AC12" i="15"/>
  <c r="AD12" i="15"/>
  <c r="AE12" i="15"/>
  <c r="B12" i="15" l="1"/>
  <c r="B12" i="5"/>
  <c r="B12" i="4"/>
  <c r="AG5" i="15" l="1"/>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C5" i="15"/>
  <c r="AH11" i="5" l="1"/>
  <c r="AH10" i="5"/>
  <c r="AH9" i="5"/>
  <c r="AH11" i="4"/>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AH8" i="5"/>
  <c r="AH7" i="5"/>
  <c r="AE5" i="5"/>
  <c r="AD5" i="5"/>
  <c r="AC5" i="5"/>
  <c r="AA5" i="5"/>
  <c r="Z5" i="5"/>
  <c r="Y5" i="5"/>
  <c r="X5" i="5"/>
  <c r="W5" i="5"/>
  <c r="V5" i="5"/>
  <c r="U5" i="5"/>
  <c r="T5" i="5"/>
  <c r="S5" i="5"/>
  <c r="R5" i="5"/>
  <c r="Q5" i="5"/>
  <c r="P5" i="5"/>
  <c r="O5" i="5"/>
  <c r="N5" i="5"/>
  <c r="M5" i="5"/>
  <c r="L5" i="5"/>
  <c r="K5" i="5"/>
  <c r="J5" i="5"/>
  <c r="I5" i="5"/>
  <c r="H5" i="5"/>
  <c r="G5" i="5"/>
  <c r="F5" i="5"/>
  <c r="E5" i="5"/>
  <c r="D5" i="5"/>
  <c r="C5" i="5"/>
  <c r="AH12" i="5" l="1"/>
  <c r="AH7" i="4"/>
  <c r="AH8" i="4"/>
  <c r="AH12" i="4" l="1"/>
  <c r="AE5" i="4"/>
  <c r="AA5" i="4"/>
  <c r="W5" i="4"/>
  <c r="O5" i="4"/>
  <c r="G5" i="4"/>
  <c r="AD5" i="4"/>
  <c r="Z5" i="4"/>
  <c r="R5" i="4"/>
  <c r="N5" i="4"/>
  <c r="F5" i="4"/>
  <c r="M5" i="4"/>
  <c r="AG5" i="4"/>
  <c r="AC5" i="4"/>
  <c r="Y5" i="4"/>
  <c r="S5" i="4"/>
  <c r="K5" i="4"/>
  <c r="E5" i="4"/>
  <c r="AF5" i="4"/>
  <c r="AB5" i="4"/>
  <c r="X5" i="4"/>
  <c r="T5" i="4"/>
  <c r="P5" i="4"/>
  <c r="L5" i="4"/>
  <c r="H5" i="4"/>
  <c r="D5" i="4"/>
  <c r="Q5" i="4"/>
  <c r="I5" i="4"/>
  <c r="C5" i="4"/>
  <c r="V5" i="4"/>
  <c r="J5" i="4"/>
  <c r="U5" i="4"/>
</calcChain>
</file>

<file path=xl/sharedStrings.xml><?xml version="1.0" encoding="utf-8"?>
<sst xmlns="http://schemas.openxmlformats.org/spreadsheetml/2006/main" count="643" uniqueCount="65">
  <si>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</si>
  <si>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</si>
  <si>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</si>
  <si>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</si>
  <si>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</si>
  <si>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</si>
  <si>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</si>
  <si>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</si>
  <si>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</si>
  <si>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</si>
  <si>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</si>
  <si>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</si>
  <si>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</si>
  <si>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</si>
  <si>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</si>
  <si>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</si>
  <si>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</si>
  <si>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</si>
  <si>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</si>
  <si>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</si>
  <si>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</si>
  <si>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</si>
  <si>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</si>
  <si>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</si>
  <si>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</si>
  <si>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</si>
  <si>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</si>
  <si>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</si>
  <si>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</si>
  <si>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</si>
  <si>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</si>
  <si>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</si>
  <si>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</si>
  <si>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</si>
  <si>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</si>
  <si>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</si>
  <si>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</si>
  <si>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</si>
  <si>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</si>
  <si>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</si>
  <si>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</si>
  <si>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</si>
  <si>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</si>
  <si>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</si>
  <si>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</si>
  <si>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</si>
  <si>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</si>
  <si>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</si>
  <si>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February</t>
  </si>
  <si>
    <t>Employee 3</t>
  </si>
  <si>
    <t>Employee 4</t>
  </si>
  <si>
    <t>Employee 5</t>
  </si>
  <si>
    <t>March</t>
  </si>
  <si>
    <t>April</t>
  </si>
  <si>
    <t>May</t>
  </si>
  <si>
    <t>June</t>
  </si>
  <si>
    <t>July</t>
  </si>
  <si>
    <t>August</t>
  </si>
  <si>
    <t>September</t>
  </si>
  <si>
    <t>October</t>
  </si>
  <si>
    <t>November</t>
  </si>
  <si>
    <t>December</t>
  </si>
  <si>
    <t>Enter year:</t>
  </si>
  <si>
    <t>Absence Type Key</t>
  </si>
  <si>
    <t>Employee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</si>
</sst>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s>
  <fills count="21">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s>
  <borders count="1">
    <border>
      <left/>
      <right/>
      <top/>
      <bottom/>
      <diagonal/>
    </border>
  </borders>
  <cellStyleXfs count="28">
    <xf numFmtId="0" fontId="0" fillId="0" borderId="0">
      <alignment horizontal="left" vertical="center"/>
    </xf>
    <xf numFmtId="0" fontId="7" fillId="0" borderId="0" applyNumberFormat="0" applyFill="0" applyBorder="0" applyProtection="0">
      <alignment vertical="top"/>
    </xf>
    <xf numFmtId="0" fontId="5" fillId="0" borderId="0" applyNumberFormat="0" applyFill="0" applyBorder="0" applyProtection="0">
      <alignment vertical="top"/>
    </xf>
    <xf numFmtId="0" fontId="6" fillId="2" borderId="0" applyNumberFormat="0" applyBorder="0" applyProtection="0">
      <alignment horizontal="center" vertical="center"/>
    </xf>
    <xf numFmtId="0" fontId="2" fillId="20" borderId="0" applyNumberFormat="0" applyProtection="0">
      <alignment horizontal="right" vertical="center" indent="1"/>
    </xf>
    <xf numFmtId="0" fontId="3" fillId="0" borderId="0" applyNumberFormat="0" applyFill="0" applyBorder="0" applyProtection="0">
      <alignment horizontal="left" vertical="center" indent="2"/>
    </xf>
    <xf numFmtId="0" fontId="4"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4"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4"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2" fillId="10" borderId="0" applyNumberFormat="0" applyBorder="0" applyAlignment="0" applyProtection="0"/>
    <xf numFmtId="0" fontId="4"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8" fillId="0" borderId="0">
      <alignment horizontal="center"/>
    </xf>
  </cellStyleXfs>
  <cellXfs count="25">
    <xf numFmtId="0" fontId="0" fillId="0" borderId="0" xfId="0">
      <alignment horizontal="left" vertical="center"/>
    </xf>
    <xf numFmtId="0" fontId="1" fillId="0" borderId="0" xfId="26">
      <alignment horizontal="left" vertical="center" wrapText="1" indent="2"/>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Font="1" applyAlignment="1" applyProtection="1">
      <alignment horizontal="center" vertical="center"/>
    </xf>
    <xf numFmtId="164" fontId="2" fillId="9" borderId="0" xfId="8" applyNumberFormat="1" applyFont="1" applyAlignment="1" applyProtection="1">
      <alignment horizontal="center" vertical="center"/>
    </xf>
    <xf numFmtId="164" fontId="2" fillId="14" borderId="0" xfId="24" applyNumberFormat="1" applyFont="1" applyAlignment="1" applyProtection="1">
      <alignment horizontal="center" vertical="center"/>
    </xf>
    <xf numFmtId="0" fontId="1" fillId="0" borderId="0" xfId="26" applyFill="1" applyBorder="1">
      <alignment horizontal="left" vertical="center" wrapText="1" indent="2"/>
    </xf>
    <xf numFmtId="1" fontId="1" fillId="0" borderId="0" xfId="25" applyFill="1" applyBorder="1" applyProtection="1">
      <alignment horizontal="center" vertical="center"/>
    </xf>
    <xf numFmtId="0" fontId="0" fillId="0" borderId="0" xfId="0" applyProtection="1">
      <alignment horizontal="left" vertical="center"/>
    </xf>
    <xf numFmtId="0" fontId="6" fillId="2" borderId="0" xfId="3" applyProtection="1">
      <alignment horizontal="center" vertical="center"/>
    </xf>
    <xf numFmtId="164" fontId="0" fillId="0" borderId="0" xfId="0" applyNumberFormat="1" applyFont="1" applyFill="1" applyBorder="1" applyAlignment="1" applyProtection="1">
      <alignment horizontal="center" vertical="center"/>
    </xf>
    <xf numFmtId="0" fontId="7" fillId="0" borderId="0" xfId="1" applyAlignment="1" applyProtection="1">
      <alignment vertical="top"/>
    </xf>
    <xf numFmtId="0" fontId="1" fillId="2" borderId="0" xfId="21" applyBorder="1" applyAlignment="1" applyProtection="1">
      <alignment horizontal="left" vertical="center" indent="1"/>
    </xf>
    <xf numFmtId="0" fontId="0" fillId="0" borderId="0" xfId="21" applyFont="1" applyFill="1" applyBorder="1" applyAlignment="1" applyProtection="1">
      <alignment horizontal="center" vertical="center"/>
    </xf>
    <xf numFmtId="0" fontId="1" fillId="0" borderId="0" xfId="26" applyFill="1" applyBorder="1" applyProtection="1">
      <alignment horizontal="left" vertical="center" wrapText="1" indent="2"/>
    </xf>
    <xf numFmtId="0" fontId="0" fillId="0" borderId="0" xfId="0" applyAlignment="1" applyProtection="1">
      <alignment horizontal="left" vertical="center" wrapText="1"/>
    </xf>
    <xf numFmtId="0" fontId="2" fillId="20" borderId="0" xfId="4" applyProtection="1">
      <alignment horizontal="right" vertical="center" indent="1"/>
    </xf>
    <xf numFmtId="0" fontId="8" fillId="0" borderId="0" xfId="27" applyProtection="1">
      <alignment horizontal="center"/>
    </xf>
    <xf numFmtId="0" fontId="0" fillId="0" borderId="0" xfId="0" applyFont="1" applyFill="1" applyBorder="1" applyAlignment="1" applyProtection="1">
      <alignment horizontal="left" vertical="center" indent="1"/>
    </xf>
    <xf numFmtId="0" fontId="7" fillId="0" borderId="0" xfId="1">
      <alignment vertical="top"/>
    </xf>
    <xf numFmtId="0" fontId="6" fillId="2" borderId="0" xfId="3" applyProtection="1">
      <alignment horizontal="center" vertical="center"/>
    </xf>
    <xf numFmtId="0" fontId="1" fillId="2" borderId="0" xfId="21" applyAlignment="1" applyProtection="1">
      <alignment horizontal="left" vertical="center"/>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937">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0"/>
      </font>
      <border>
        <vertical/>
        <horizontal/>
      </border>
    </dxf>
    <dxf>
      <font>
        <b val="0"/>
        <i val="0"/>
        <color theme="3"/>
      </font>
      <border>
        <vertical/>
        <horizontal/>
      </border>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ill>
        <patternFill patternType="none">
          <fgColor indexed="64"/>
          <bgColor indexed="65"/>
        </patternFill>
      </fill>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ill>
        <patternFill patternType="none">
          <fgColor indexed="64"/>
          <bgColor indexed="65"/>
        </patternFill>
      </fill>
    </dxf>
    <dxf>
      <protection locked="1" hidden="0"/>
    </dxf>
    <dxf>
      <protection locked="1" hidden="0"/>
    </dxf>
    <dxf>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TableStyle="Employee Absence Table" defaultPivotStyle="PivotStyleLight16">
    <tableStyle name="Employee Absence Table" pivot="0" count="13" xr9:uid="{00000000-0011-0000-FFFF-FFFF00000000}">
      <tableStyleElement type="wholeTable" dxfId="936"/>
      <tableStyleElement type="headerRow" dxfId="935"/>
      <tableStyleElement type="totalRow" dxfId="934"/>
      <tableStyleElement type="firstColumn" dxfId="933"/>
      <tableStyleElement type="lastColumn" dxfId="932"/>
      <tableStyleElement type="firstRowStripe" dxfId="931"/>
      <tableStyleElement type="secondRowStripe" dxfId="930"/>
      <tableStyleElement type="firstColumnStripe" dxfId="929"/>
      <tableStyleElement type="secondColumnStripe" dxfId="928"/>
      <tableStyleElement type="firstHeaderCell" dxfId="927"/>
      <tableStyleElement type="lastHeaderCell" dxfId="926"/>
      <tableStyleElement type="firstTotalCell" dxfId="925"/>
      <tableStyleElement type="lastTotalCell" dxfId="9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6:AH12" totalsRowCount="1" headerRowDxfId="923" dataDxfId="922" totalsRowDxfId="921">
  <autoFilter ref="B6:AH1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920" totalsRowDxfId="919" dataCellStyle="Employee">
      <totalsRowFormula>MonthName&amp;" Total"</totalsRowFormula>
    </tableColumn>
    <tableColumn id="2" xr3:uid="{00000000-0010-0000-0000-000002000000}" name="1" totalsRowFunction="custom" dataDxfId="918" totalsRowDxfId="917" dataCellStyle="Total">
      <totalsRowFormula>SUBTOTAL(103,January!$C$7:$C$11)</totalsRowFormula>
    </tableColumn>
    <tableColumn id="3" xr3:uid="{00000000-0010-0000-0000-000003000000}" name="2" totalsRowFunction="custom" dataDxfId="916" totalsRowDxfId="915" dataCellStyle="Total">
      <totalsRowFormula>SUBTOTAL(103,January!$D$7:$D$11)</totalsRowFormula>
    </tableColumn>
    <tableColumn id="4" xr3:uid="{00000000-0010-0000-0000-000004000000}" name="3" totalsRowFunction="custom" dataDxfId="914" totalsRowDxfId="913" dataCellStyle="Total">
      <totalsRowFormula>SUBTOTAL(103,January!$E$7:$E$11)</totalsRowFormula>
    </tableColumn>
    <tableColumn id="5" xr3:uid="{00000000-0010-0000-0000-000005000000}" name="4" totalsRowFunction="custom" dataDxfId="912" totalsRowDxfId="911" dataCellStyle="Total">
      <totalsRowFormula>SUBTOTAL(103,January!$F$7:$F$11)</totalsRowFormula>
    </tableColumn>
    <tableColumn id="6" xr3:uid="{00000000-0010-0000-0000-000006000000}" name="5" totalsRowFunction="custom" totalsRowDxfId="910" dataCellStyle="Total">
      <totalsRowFormula>SUBTOTAL(103,January!$G$7:$G$11)</totalsRowFormula>
    </tableColumn>
    <tableColumn id="7" xr3:uid="{00000000-0010-0000-0000-000007000000}" name="6" totalsRowFunction="custom" dataDxfId="909" totalsRowDxfId="908" dataCellStyle="Total">
      <totalsRowFormula>SUBTOTAL(103,January!$H$7:$H$11)</totalsRowFormula>
    </tableColumn>
    <tableColumn id="8" xr3:uid="{00000000-0010-0000-0000-000008000000}" name="7" totalsRowFunction="custom" dataDxfId="907" totalsRowDxfId="906" dataCellStyle="Total">
      <totalsRowFormula>SUBTOTAL(103,January!$I$7:$I$11)</totalsRowFormula>
    </tableColumn>
    <tableColumn id="9" xr3:uid="{00000000-0010-0000-0000-000009000000}" name="8" totalsRowFunction="custom" dataDxfId="905" totalsRowDxfId="904" dataCellStyle="Total">
      <totalsRowFormula>SUBTOTAL(103,January!$J$7:$J$11)</totalsRowFormula>
    </tableColumn>
    <tableColumn id="10" xr3:uid="{00000000-0010-0000-0000-00000A000000}" name="9" totalsRowFunction="custom" dataDxfId="903" totalsRowDxfId="902" dataCellStyle="Total">
      <totalsRowFormula>SUBTOTAL(103,January!$K$7:$K$11)</totalsRowFormula>
    </tableColumn>
    <tableColumn id="11" xr3:uid="{00000000-0010-0000-0000-00000B000000}" name="10" totalsRowFunction="custom" dataDxfId="901" totalsRowDxfId="900" dataCellStyle="Total">
      <totalsRowFormula>SUBTOTAL(103,January!$L$7:$L$11)</totalsRowFormula>
    </tableColumn>
    <tableColumn id="12" xr3:uid="{00000000-0010-0000-0000-00000C000000}" name="11" totalsRowFunction="custom" dataDxfId="899" totalsRowDxfId="898" dataCellStyle="Total">
      <totalsRowFormula>SUBTOTAL(103,January!$M$7:$M$11)</totalsRowFormula>
    </tableColumn>
    <tableColumn id="13" xr3:uid="{00000000-0010-0000-0000-00000D000000}" name="12" totalsRowFunction="custom" dataDxfId="897" totalsRowDxfId="896" dataCellStyle="Total">
      <totalsRowFormula>SUBTOTAL(103,January!$N$7:$N$11)</totalsRowFormula>
    </tableColumn>
    <tableColumn id="14" xr3:uid="{00000000-0010-0000-0000-00000E000000}" name="13" totalsRowFunction="custom" dataDxfId="895" totalsRowDxfId="894" dataCellStyle="Total">
      <totalsRowFormula>SUBTOTAL(103,January!$O$7:$O$11)</totalsRowFormula>
    </tableColumn>
    <tableColumn id="15" xr3:uid="{00000000-0010-0000-0000-00000F000000}" name="14" totalsRowFunction="custom" dataDxfId="893" totalsRowDxfId="892" dataCellStyle="Total">
      <totalsRowFormula>SUBTOTAL(103,January!$P$7:$P$11)</totalsRowFormula>
    </tableColumn>
    <tableColumn id="16" xr3:uid="{00000000-0010-0000-0000-000010000000}" name="15" totalsRowFunction="custom" dataDxfId="891" totalsRowDxfId="890" dataCellStyle="Total">
      <totalsRowFormula>SUBTOTAL(103,January!$Q$7:$Q$11)</totalsRowFormula>
    </tableColumn>
    <tableColumn id="17" xr3:uid="{00000000-0010-0000-0000-000011000000}" name="16" totalsRowFunction="custom" dataDxfId="889" totalsRowDxfId="888" dataCellStyle="Total">
      <totalsRowFormula>SUBTOTAL(103,January!$R$7:$R$11)</totalsRowFormula>
    </tableColumn>
    <tableColumn id="18" xr3:uid="{00000000-0010-0000-0000-000012000000}" name="17" totalsRowFunction="custom" dataDxfId="887" totalsRowDxfId="886" dataCellStyle="Total">
      <totalsRowFormula>SUBTOTAL(103,January!$S$7:$S$11)</totalsRowFormula>
    </tableColumn>
    <tableColumn id="19" xr3:uid="{00000000-0010-0000-0000-000013000000}" name="18" totalsRowFunction="custom" dataDxfId="885" totalsRowDxfId="884" dataCellStyle="Total">
      <totalsRowFormula>SUBTOTAL(103,January!$T$7:$T$11)</totalsRowFormula>
    </tableColumn>
    <tableColumn id="20" xr3:uid="{00000000-0010-0000-0000-000014000000}" name="19" totalsRowFunction="custom" dataDxfId="883" totalsRowDxfId="882" dataCellStyle="Total">
      <totalsRowFormula>SUBTOTAL(103,January!$U$7:$U$11)</totalsRowFormula>
    </tableColumn>
    <tableColumn id="21" xr3:uid="{00000000-0010-0000-0000-000015000000}" name="20" totalsRowFunction="custom" dataDxfId="881" totalsRowDxfId="880" dataCellStyle="Total">
      <totalsRowFormula>SUBTOTAL(103,January!$V$7:$V$11)</totalsRowFormula>
    </tableColumn>
    <tableColumn id="22" xr3:uid="{00000000-0010-0000-0000-000016000000}" name="21" totalsRowFunction="custom" dataDxfId="879" totalsRowDxfId="878" dataCellStyle="Total">
      <totalsRowFormula>SUBTOTAL(103,January!$W$7:$W$11)</totalsRowFormula>
    </tableColumn>
    <tableColumn id="23" xr3:uid="{00000000-0010-0000-0000-000017000000}" name="22" totalsRowFunction="custom" dataDxfId="877" totalsRowDxfId="876" dataCellStyle="Total">
      <totalsRowFormula>SUBTOTAL(103,January!$X$7:$X$11)</totalsRowFormula>
    </tableColumn>
    <tableColumn id="24" xr3:uid="{00000000-0010-0000-0000-000018000000}" name="23" totalsRowFunction="custom" dataDxfId="875" totalsRowDxfId="874" dataCellStyle="Total">
      <totalsRowFormula>SUBTOTAL(103,January!$Y$7:$Y$11)</totalsRowFormula>
    </tableColumn>
    <tableColumn id="25" xr3:uid="{00000000-0010-0000-0000-000019000000}" name="24" totalsRowFunction="custom" dataDxfId="873" totalsRowDxfId="872" dataCellStyle="Total">
      <totalsRowFormula>SUBTOTAL(103,January!$Z$7:$Z$11)</totalsRowFormula>
    </tableColumn>
    <tableColumn id="26" xr3:uid="{00000000-0010-0000-0000-00001A000000}" name="25" totalsRowFunction="custom" dataDxfId="871" totalsRowDxfId="870" dataCellStyle="Total">
      <totalsRowFormula>SUBTOTAL(103,January!$AA$7:$AA$11)</totalsRowFormula>
    </tableColumn>
    <tableColumn id="27" xr3:uid="{00000000-0010-0000-0000-00001B000000}" name="26" totalsRowFunction="custom" dataDxfId="869" totalsRowDxfId="868" dataCellStyle="Total">
      <totalsRowFormula>SUBTOTAL(103,January!$AB$7:$AB$11)</totalsRowFormula>
    </tableColumn>
    <tableColumn id="28" xr3:uid="{00000000-0010-0000-0000-00001C000000}" name="27" totalsRowFunction="custom" dataDxfId="867" totalsRowDxfId="866" dataCellStyle="Total">
      <totalsRowFormula>SUBTOTAL(103,January!$AC$7:$AC$11)</totalsRowFormula>
    </tableColumn>
    <tableColumn id="29" xr3:uid="{00000000-0010-0000-0000-00001D000000}" name="28" totalsRowFunction="custom" dataDxfId="865" totalsRowDxfId="864" dataCellStyle="Total">
      <totalsRowFormula>SUBTOTAL(103,January!$AD$7:$AD$11)</totalsRowFormula>
    </tableColumn>
    <tableColumn id="30" xr3:uid="{00000000-0010-0000-0000-00001E000000}" name="29" totalsRowFunction="custom" dataDxfId="863" totalsRowDxfId="862" dataCellStyle="Total">
      <totalsRowFormula>SUBTOTAL(103,January!$AE$7:$AE$11)</totalsRowFormula>
    </tableColumn>
    <tableColumn id="31" xr3:uid="{00000000-0010-0000-0000-00001F000000}" name="30" totalsRowFunction="custom" dataDxfId="861" totalsRowDxfId="860" dataCellStyle="Total">
      <totalsRowFormula>SUBTOTAL(103,January!$AF$7:$AF$11)</totalsRowFormula>
    </tableColumn>
    <tableColumn id="32" xr3:uid="{00000000-0010-0000-0000-000020000000}" name="31" totalsRowFunction="custom" dataDxfId="859" totalsRowDxfId="858" dataCellStyle="Total">
      <totalsRowFormula>SUBTOTAL(103,January!$AG$7:$AG$11)</totalsRowFormula>
    </tableColumn>
    <tableColumn id="33" xr3:uid="{00000000-0010-0000-0000-000021000000}" name="Total Days" totalsRowFunction="sum" dataDxfId="857" totalsRowDxfId="856" dataCellStyle="Total">
      <calculatedColumnFormula>COUNTA(January!$C7:$AG7)</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6:AH12" totalsRowCount="1" headerRowDxfId="303" dataDxfId="302" totalsRowDxfId="301">
  <tableColumns count="33">
    <tableColumn id="1" xr3:uid="{00000000-0010-0000-0900-000001000000}" name="Employee Name" totalsRowFunction="custom" dataDxfId="300" totalsRowDxfId="299" dataCellStyle="Employee">
      <totalsRowFormula>MonthName&amp;" Total"</totalsRowFormula>
    </tableColumn>
    <tableColumn id="2" xr3:uid="{00000000-0010-0000-0900-000002000000}" name="1" totalsRowFunction="count" dataDxfId="298" totalsRowDxfId="297"/>
    <tableColumn id="3" xr3:uid="{00000000-0010-0000-0900-000003000000}" name="2" totalsRowFunction="count" dataDxfId="296" totalsRowDxfId="295"/>
    <tableColumn id="4" xr3:uid="{00000000-0010-0000-0900-000004000000}" name="3" totalsRowFunction="count" dataDxfId="294" totalsRowDxfId="293"/>
    <tableColumn id="5" xr3:uid="{00000000-0010-0000-0900-000005000000}" name="4" totalsRowFunction="count" dataDxfId="292" totalsRowDxfId="291"/>
    <tableColumn id="6" xr3:uid="{00000000-0010-0000-0900-000006000000}" name="5" totalsRowFunction="count" dataDxfId="290" totalsRowDxfId="289"/>
    <tableColumn id="7" xr3:uid="{00000000-0010-0000-0900-000007000000}" name="6" totalsRowFunction="count" dataDxfId="288" totalsRowDxfId="287"/>
    <tableColumn id="8" xr3:uid="{00000000-0010-0000-0900-000008000000}" name="7" totalsRowFunction="count" dataDxfId="286" totalsRowDxfId="285"/>
    <tableColumn id="9" xr3:uid="{00000000-0010-0000-0900-000009000000}" name="8" totalsRowFunction="count" dataDxfId="284" totalsRowDxfId="283"/>
    <tableColumn id="10" xr3:uid="{00000000-0010-0000-0900-00000A000000}" name="9" totalsRowFunction="count" dataDxfId="282" totalsRowDxfId="281"/>
    <tableColumn id="11" xr3:uid="{00000000-0010-0000-0900-00000B000000}" name="10" totalsRowFunction="count" dataDxfId="280" totalsRowDxfId="279"/>
    <tableColumn id="12" xr3:uid="{00000000-0010-0000-0900-00000C000000}" name="11" totalsRowFunction="count" dataDxfId="278" totalsRowDxfId="277"/>
    <tableColumn id="13" xr3:uid="{00000000-0010-0000-0900-00000D000000}" name="12" totalsRowFunction="count" dataDxfId="276" totalsRowDxfId="275"/>
    <tableColumn id="14" xr3:uid="{00000000-0010-0000-0900-00000E000000}" name="13" totalsRowFunction="count" dataDxfId="274" totalsRowDxfId="273"/>
    <tableColumn id="15" xr3:uid="{00000000-0010-0000-0900-00000F000000}" name="14" totalsRowFunction="count" dataDxfId="272" totalsRowDxfId="271"/>
    <tableColumn id="16" xr3:uid="{00000000-0010-0000-0900-000010000000}" name="15" totalsRowFunction="count" dataDxfId="270" totalsRowDxfId="269"/>
    <tableColumn id="17" xr3:uid="{00000000-0010-0000-0900-000011000000}" name="16" totalsRowFunction="count" dataDxfId="268" totalsRowDxfId="267"/>
    <tableColumn id="18" xr3:uid="{00000000-0010-0000-0900-000012000000}" name="17" totalsRowFunction="count" dataDxfId="266" totalsRowDxfId="265"/>
    <tableColumn id="19" xr3:uid="{00000000-0010-0000-0900-000013000000}" name="18" totalsRowFunction="count" dataDxfId="264" totalsRowDxfId="263"/>
    <tableColumn id="20" xr3:uid="{00000000-0010-0000-0900-000014000000}" name="19" totalsRowFunction="count" dataDxfId="262" totalsRowDxfId="261"/>
    <tableColumn id="21" xr3:uid="{00000000-0010-0000-0900-000015000000}" name="20" totalsRowFunction="count" dataDxfId="260" totalsRowDxfId="259"/>
    <tableColumn id="22" xr3:uid="{00000000-0010-0000-0900-000016000000}" name="21" totalsRowFunction="count" dataDxfId="258" totalsRowDxfId="257"/>
    <tableColumn id="23" xr3:uid="{00000000-0010-0000-0900-000017000000}" name="22" totalsRowFunction="count" dataDxfId="256" totalsRowDxfId="255"/>
    <tableColumn id="24" xr3:uid="{00000000-0010-0000-0900-000018000000}" name="23" totalsRowFunction="count" dataDxfId="254" totalsRowDxfId="253"/>
    <tableColumn id="25" xr3:uid="{00000000-0010-0000-0900-000019000000}" name="24" totalsRowFunction="count" dataDxfId="252" totalsRowDxfId="251"/>
    <tableColumn id="26" xr3:uid="{00000000-0010-0000-0900-00001A000000}" name="25" totalsRowFunction="count" dataDxfId="250" totalsRowDxfId="249"/>
    <tableColumn id="27" xr3:uid="{00000000-0010-0000-0900-00001B000000}" name="26" totalsRowFunction="count" dataDxfId="248" totalsRowDxfId="247"/>
    <tableColumn id="28" xr3:uid="{00000000-0010-0000-0900-00001C000000}" name="27" totalsRowFunction="count" dataDxfId="246" totalsRowDxfId="245"/>
    <tableColumn id="29" xr3:uid="{00000000-0010-0000-0900-00001D000000}" name="28" totalsRowFunction="count" dataDxfId="244" totalsRowDxfId="243"/>
    <tableColumn id="30" xr3:uid="{00000000-0010-0000-0900-00001E000000}" name="29" totalsRowFunction="count" dataDxfId="242" totalsRowDxfId="241"/>
    <tableColumn id="31" xr3:uid="{00000000-0010-0000-0900-00001F000000}" name="30" totalsRowFunction="sum" dataDxfId="240" totalsRowDxfId="239"/>
    <tableColumn id="32" xr3:uid="{00000000-0010-0000-0900-000020000000}" name="31" totalsRowFunction="sum" dataDxfId="238" totalsRowDxfId="237" dataCellStyle="Total"/>
    <tableColumn id="33" xr3:uid="{00000000-0010-0000-0900-000021000000}" name="Total Days" totalsRowFunction="sum" dataDxfId="236" totalsRowDxfId="235"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6:AH12" totalsRowCount="1" headerRowDxfId="234" dataDxfId="233" totalsRowDxfId="232">
  <tableColumns count="33">
    <tableColumn id="1" xr3:uid="{00000000-0010-0000-0A00-000001000000}" name="Employee Name" totalsRowFunction="custom" dataDxfId="231" totalsRowDxfId="230" dataCellStyle="Employee">
      <totalsRowFormula>MonthName&amp;" Total"</totalsRowFormula>
    </tableColumn>
    <tableColumn id="2" xr3:uid="{00000000-0010-0000-0A00-000002000000}" name="1" totalsRowFunction="count" dataDxfId="229" totalsRowDxfId="228"/>
    <tableColumn id="3" xr3:uid="{00000000-0010-0000-0A00-000003000000}" name="2" totalsRowFunction="count" dataDxfId="227" totalsRowDxfId="226"/>
    <tableColumn id="4" xr3:uid="{00000000-0010-0000-0A00-000004000000}" name="3" totalsRowFunction="count" dataDxfId="225" totalsRowDxfId="224"/>
    <tableColumn id="5" xr3:uid="{00000000-0010-0000-0A00-000005000000}" name="4" totalsRowFunction="count" dataDxfId="223" totalsRowDxfId="222"/>
    <tableColumn id="6" xr3:uid="{00000000-0010-0000-0A00-000006000000}" name="5" totalsRowFunction="count" dataDxfId="221" totalsRowDxfId="220"/>
    <tableColumn id="7" xr3:uid="{00000000-0010-0000-0A00-000007000000}" name="6" totalsRowFunction="count" dataDxfId="219" totalsRowDxfId="218"/>
    <tableColumn id="8" xr3:uid="{00000000-0010-0000-0A00-000008000000}" name="7" totalsRowFunction="count" dataDxfId="217" totalsRowDxfId="216"/>
    <tableColumn id="9" xr3:uid="{00000000-0010-0000-0A00-000009000000}" name="8" totalsRowFunction="count" dataDxfId="215" totalsRowDxfId="214"/>
    <tableColumn id="10" xr3:uid="{00000000-0010-0000-0A00-00000A000000}" name="9" totalsRowFunction="count" dataDxfId="213" totalsRowDxfId="212"/>
    <tableColumn id="11" xr3:uid="{00000000-0010-0000-0A00-00000B000000}" name="10" totalsRowFunction="count" dataDxfId="211" totalsRowDxfId="210"/>
    <tableColumn id="12" xr3:uid="{00000000-0010-0000-0A00-00000C000000}" name="11" totalsRowFunction="count" dataDxfId="209" totalsRowDxfId="208"/>
    <tableColumn id="13" xr3:uid="{00000000-0010-0000-0A00-00000D000000}" name="12" totalsRowFunction="count" dataDxfId="207" totalsRowDxfId="206"/>
    <tableColumn id="14" xr3:uid="{00000000-0010-0000-0A00-00000E000000}" name="13" totalsRowFunction="count" dataDxfId="205" totalsRowDxfId="204"/>
    <tableColumn id="15" xr3:uid="{00000000-0010-0000-0A00-00000F000000}" name="14" totalsRowFunction="count" dataDxfId="203" totalsRowDxfId="202"/>
    <tableColumn id="16" xr3:uid="{00000000-0010-0000-0A00-000010000000}" name="15" totalsRowFunction="count" dataDxfId="201" totalsRowDxfId="200"/>
    <tableColumn id="17" xr3:uid="{00000000-0010-0000-0A00-000011000000}" name="16" totalsRowFunction="count" dataDxfId="199" totalsRowDxfId="198"/>
    <tableColumn id="18" xr3:uid="{00000000-0010-0000-0A00-000012000000}" name="17" totalsRowFunction="count" dataDxfId="197" totalsRowDxfId="196"/>
    <tableColumn id="19" xr3:uid="{00000000-0010-0000-0A00-000013000000}" name="18" totalsRowFunction="count" dataDxfId="195" totalsRowDxfId="194"/>
    <tableColumn id="20" xr3:uid="{00000000-0010-0000-0A00-000014000000}" name="19" totalsRowFunction="count" dataDxfId="193" totalsRowDxfId="192"/>
    <tableColumn id="21" xr3:uid="{00000000-0010-0000-0A00-000015000000}" name="20" totalsRowFunction="count" dataDxfId="191" totalsRowDxfId="190"/>
    <tableColumn id="22" xr3:uid="{00000000-0010-0000-0A00-000016000000}" name="21" totalsRowFunction="count" dataDxfId="189" totalsRowDxfId="188"/>
    <tableColumn id="23" xr3:uid="{00000000-0010-0000-0A00-000017000000}" name="22" totalsRowFunction="count" dataDxfId="187" totalsRowDxfId="186"/>
    <tableColumn id="24" xr3:uid="{00000000-0010-0000-0A00-000018000000}" name="23" totalsRowFunction="count" dataDxfId="185" totalsRowDxfId="184"/>
    <tableColumn id="25" xr3:uid="{00000000-0010-0000-0A00-000019000000}" name="24" totalsRowFunction="count" dataDxfId="183" totalsRowDxfId="182"/>
    <tableColumn id="26" xr3:uid="{00000000-0010-0000-0A00-00001A000000}" name="25" totalsRowFunction="count" dataDxfId="181" totalsRowDxfId="180"/>
    <tableColumn id="27" xr3:uid="{00000000-0010-0000-0A00-00001B000000}" name="26" totalsRowFunction="count" dataDxfId="179" totalsRowDxfId="178"/>
    <tableColumn id="28" xr3:uid="{00000000-0010-0000-0A00-00001C000000}" name="27" totalsRowFunction="count" dataDxfId="177" totalsRowDxfId="176"/>
    <tableColumn id="29" xr3:uid="{00000000-0010-0000-0A00-00001D000000}" name="28" totalsRowFunction="count" dataDxfId="175" totalsRowDxfId="174"/>
    <tableColumn id="30" xr3:uid="{00000000-0010-0000-0A00-00001E000000}" name="29" totalsRowFunction="count" dataDxfId="173" totalsRowDxfId="172"/>
    <tableColumn id="31" xr3:uid="{00000000-0010-0000-0A00-00001F000000}" name="30" totalsRowFunction="sum" dataDxfId="171" totalsRowDxfId="170"/>
    <tableColumn id="32" xr3:uid="{00000000-0010-0000-0A00-000020000000}" name="31" totalsRowFunction="sum" dataDxfId="169" totalsRowDxfId="168" dataCellStyle="Total"/>
    <tableColumn id="33" xr3:uid="{00000000-0010-0000-0A00-000021000000}" name="Total Days" totalsRowFunction="sum" dataDxfId="167" totalsRowDxfId="166" dataCellStyle="Total">
      <calculatedColumnFormula>COUNTA(November[[#This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6:AH12" totalsRowCount="1" headerRowDxfId="165" dataDxfId="164" totalsRowDxfId="163">
  <tableColumns count="33">
    <tableColumn id="1" xr3:uid="{00000000-0010-0000-0B00-000001000000}" name="Employee Name" totalsRowFunction="custom" dataDxfId="161" totalsRowDxfId="162" dataCellStyle="Employee">
      <totalsRowFormula>MonthName&amp;" Total"</totalsRowFormula>
    </tableColumn>
    <tableColumn id="2" xr3:uid="{00000000-0010-0000-0B00-000002000000}" name="1" totalsRowFunction="count" dataDxfId="159" totalsRowDxfId="160"/>
    <tableColumn id="3" xr3:uid="{00000000-0010-0000-0B00-000003000000}" name="2" totalsRowFunction="count" dataDxfId="157" totalsRowDxfId="158"/>
    <tableColumn id="4" xr3:uid="{00000000-0010-0000-0B00-000004000000}" name="3" totalsRowFunction="count" dataDxfId="155" totalsRowDxfId="156"/>
    <tableColumn id="5" xr3:uid="{00000000-0010-0000-0B00-000005000000}" name="4" totalsRowFunction="count" dataDxfId="153" totalsRowDxfId="154"/>
    <tableColumn id="6" xr3:uid="{00000000-0010-0000-0B00-000006000000}" name="5" totalsRowFunction="count" dataDxfId="151" totalsRowDxfId="152"/>
    <tableColumn id="7" xr3:uid="{00000000-0010-0000-0B00-000007000000}" name="6" totalsRowFunction="count" dataDxfId="149" totalsRowDxfId="150"/>
    <tableColumn id="8" xr3:uid="{00000000-0010-0000-0B00-000008000000}" name="7" totalsRowFunction="count" dataDxfId="147" totalsRowDxfId="148"/>
    <tableColumn id="9" xr3:uid="{00000000-0010-0000-0B00-000009000000}" name="8" totalsRowFunction="count" dataDxfId="145" totalsRowDxfId="146"/>
    <tableColumn id="10" xr3:uid="{00000000-0010-0000-0B00-00000A000000}" name="9" totalsRowFunction="count" dataDxfId="143" totalsRowDxfId="144"/>
    <tableColumn id="11" xr3:uid="{00000000-0010-0000-0B00-00000B000000}" name="10" totalsRowFunction="count" dataDxfId="141" totalsRowDxfId="142"/>
    <tableColumn id="12" xr3:uid="{00000000-0010-0000-0B00-00000C000000}" name="11" totalsRowFunction="count" dataDxfId="139" totalsRowDxfId="140"/>
    <tableColumn id="13" xr3:uid="{00000000-0010-0000-0B00-00000D000000}" name="12" totalsRowFunction="count" dataDxfId="137" totalsRowDxfId="138"/>
    <tableColumn id="14" xr3:uid="{00000000-0010-0000-0B00-00000E000000}" name="13" totalsRowFunction="count" dataDxfId="135" totalsRowDxfId="136"/>
    <tableColumn id="15" xr3:uid="{00000000-0010-0000-0B00-00000F000000}" name="14" totalsRowFunction="count" dataDxfId="133" totalsRowDxfId="134"/>
    <tableColumn id="16" xr3:uid="{00000000-0010-0000-0B00-000010000000}" name="15" totalsRowFunction="count" dataDxfId="131" totalsRowDxfId="132"/>
    <tableColumn id="17" xr3:uid="{00000000-0010-0000-0B00-000011000000}" name="16" totalsRowFunction="count" dataDxfId="129" totalsRowDxfId="130"/>
    <tableColumn id="18" xr3:uid="{00000000-0010-0000-0B00-000012000000}" name="17" totalsRowFunction="count" dataDxfId="127" totalsRowDxfId="128"/>
    <tableColumn id="19" xr3:uid="{00000000-0010-0000-0B00-000013000000}" name="18" totalsRowFunction="count" dataDxfId="125" totalsRowDxfId="126"/>
    <tableColumn id="20" xr3:uid="{00000000-0010-0000-0B00-000014000000}" name="19" totalsRowFunction="count" dataDxfId="123" totalsRowDxfId="124"/>
    <tableColumn id="21" xr3:uid="{00000000-0010-0000-0B00-000015000000}" name="20" totalsRowFunction="count" dataDxfId="121" totalsRowDxfId="122"/>
    <tableColumn id="22" xr3:uid="{00000000-0010-0000-0B00-000016000000}" name="21" totalsRowFunction="count" dataDxfId="119" totalsRowDxfId="120"/>
    <tableColumn id="23" xr3:uid="{00000000-0010-0000-0B00-000017000000}" name="22" totalsRowFunction="count" dataDxfId="117" totalsRowDxfId="118"/>
    <tableColumn id="24" xr3:uid="{00000000-0010-0000-0B00-000018000000}" name="23" totalsRowFunction="count" dataDxfId="115" totalsRowDxfId="116"/>
    <tableColumn id="25" xr3:uid="{00000000-0010-0000-0B00-000019000000}" name="24" totalsRowFunction="count" dataDxfId="113" totalsRowDxfId="114"/>
    <tableColumn id="26" xr3:uid="{00000000-0010-0000-0B00-00001A000000}" name="25" totalsRowFunction="count" dataDxfId="111" totalsRowDxfId="112"/>
    <tableColumn id="27" xr3:uid="{00000000-0010-0000-0B00-00001B000000}" name="26" totalsRowFunction="count" dataDxfId="109" totalsRowDxfId="110"/>
    <tableColumn id="28" xr3:uid="{00000000-0010-0000-0B00-00001C000000}" name="27" totalsRowFunction="count" dataDxfId="107" totalsRowDxfId="108"/>
    <tableColumn id="29" xr3:uid="{00000000-0010-0000-0B00-00001D000000}" name="28" totalsRowFunction="count" dataDxfId="105" totalsRowDxfId="106"/>
    <tableColumn id="30" xr3:uid="{00000000-0010-0000-0B00-00001E000000}" name="29" totalsRowFunction="count" dataDxfId="103" totalsRowDxfId="104"/>
    <tableColumn id="31" xr3:uid="{00000000-0010-0000-0B00-00001F000000}" name="30" totalsRowFunction="sum" dataDxfId="101" totalsRowDxfId="102"/>
    <tableColumn id="32" xr3:uid="{00000000-0010-0000-0B00-000020000000}" name="31" totalsRowFunction="sum" dataDxfId="99" totalsRowDxfId="100" dataCellStyle="Total"/>
    <tableColumn id="33" xr3:uid="{00000000-0010-0000-0B00-000021000000}" name="Total Days" totalsRowFunction="sum" dataDxfId="97" totalsRowDxfId="98"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dataCellStyle="Employee">
  <autoFilter ref="B3:B8"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6:AH12" totalsRowCount="1" headerRowDxfId="855" dataDxfId="854" totalsRowDxfId="853">
  <tableColumns count="33">
    <tableColumn id="1" xr3:uid="{00000000-0010-0000-0100-000001000000}" name="Employee Name" totalsRowFunction="custom" dataDxfId="852" totalsRowDxfId="851" dataCellStyle="Employee">
      <totalsRowFormula>MonthName&amp;" Total"</totalsRowFormula>
    </tableColumn>
    <tableColumn id="2" xr3:uid="{00000000-0010-0000-0100-000002000000}" name="1" totalsRowFunction="count" dataDxfId="850" totalsRowDxfId="849" dataCellStyle="Total"/>
    <tableColumn id="3" xr3:uid="{00000000-0010-0000-0100-000003000000}" name="2" totalsRowFunction="count" dataDxfId="848" totalsRowDxfId="847" dataCellStyle="Total"/>
    <tableColumn id="4" xr3:uid="{00000000-0010-0000-0100-000004000000}" name="3" totalsRowFunction="count" dataDxfId="846" totalsRowDxfId="845" dataCellStyle="Total"/>
    <tableColumn id="5" xr3:uid="{00000000-0010-0000-0100-000005000000}" name="4" totalsRowFunction="count" dataDxfId="844" totalsRowDxfId="843" dataCellStyle="Total"/>
    <tableColumn id="6" xr3:uid="{00000000-0010-0000-0100-000006000000}" name="5" totalsRowFunction="count" dataDxfId="842" totalsRowDxfId="841" dataCellStyle="Total"/>
    <tableColumn id="7" xr3:uid="{00000000-0010-0000-0100-000007000000}" name="6" totalsRowFunction="count" dataDxfId="840" totalsRowDxfId="839" dataCellStyle="Total"/>
    <tableColumn id="8" xr3:uid="{00000000-0010-0000-0100-000008000000}" name="7" totalsRowFunction="count" dataDxfId="838" totalsRowDxfId="837" dataCellStyle="Total"/>
    <tableColumn id="9" xr3:uid="{00000000-0010-0000-0100-000009000000}" name="8" totalsRowFunction="count" dataDxfId="836" totalsRowDxfId="835" dataCellStyle="Total"/>
    <tableColumn id="10" xr3:uid="{00000000-0010-0000-0100-00000A000000}" name="9" totalsRowFunction="count" dataDxfId="834" totalsRowDxfId="833" dataCellStyle="Total"/>
    <tableColumn id="11" xr3:uid="{00000000-0010-0000-0100-00000B000000}" name="10" totalsRowFunction="count" dataDxfId="832" totalsRowDxfId="831" dataCellStyle="Total"/>
    <tableColumn id="12" xr3:uid="{00000000-0010-0000-0100-00000C000000}" name="11" totalsRowFunction="count" dataDxfId="830" totalsRowDxfId="829" dataCellStyle="Total"/>
    <tableColumn id="13" xr3:uid="{00000000-0010-0000-0100-00000D000000}" name="12" totalsRowFunction="count" dataDxfId="828" totalsRowDxfId="827" dataCellStyle="Total"/>
    <tableColumn id="14" xr3:uid="{00000000-0010-0000-0100-00000E000000}" name="13" totalsRowFunction="count" dataDxfId="826" totalsRowDxfId="825" dataCellStyle="Total"/>
    <tableColumn id="15" xr3:uid="{00000000-0010-0000-0100-00000F000000}" name="14" totalsRowFunction="count" dataDxfId="824" totalsRowDxfId="823" dataCellStyle="Total"/>
    <tableColumn id="16" xr3:uid="{00000000-0010-0000-0100-000010000000}" name="15" totalsRowFunction="count" dataDxfId="822" totalsRowDxfId="821" dataCellStyle="Total"/>
    <tableColumn id="17" xr3:uid="{00000000-0010-0000-0100-000011000000}" name="16" totalsRowFunction="count" dataDxfId="820" totalsRowDxfId="819" dataCellStyle="Total"/>
    <tableColumn id="18" xr3:uid="{00000000-0010-0000-0100-000012000000}" name="17" totalsRowFunction="count" dataDxfId="818" totalsRowDxfId="817" dataCellStyle="Total"/>
    <tableColumn id="19" xr3:uid="{00000000-0010-0000-0100-000013000000}" name="18" totalsRowFunction="count" dataDxfId="816" totalsRowDxfId="815" dataCellStyle="Total"/>
    <tableColumn id="20" xr3:uid="{00000000-0010-0000-0100-000014000000}" name="19" totalsRowFunction="count" dataDxfId="814" totalsRowDxfId="813" dataCellStyle="Total"/>
    <tableColumn id="21" xr3:uid="{00000000-0010-0000-0100-000015000000}" name="20" totalsRowFunction="count" dataDxfId="812" totalsRowDxfId="811" dataCellStyle="Total"/>
    <tableColumn id="22" xr3:uid="{00000000-0010-0000-0100-000016000000}" name="21" totalsRowFunction="count" dataDxfId="810" totalsRowDxfId="809" dataCellStyle="Total"/>
    <tableColumn id="23" xr3:uid="{00000000-0010-0000-0100-000017000000}" name="22" totalsRowFunction="count" dataDxfId="808" totalsRowDxfId="807" dataCellStyle="Total"/>
    <tableColumn id="24" xr3:uid="{00000000-0010-0000-0100-000018000000}" name="23" totalsRowFunction="count" dataDxfId="806" totalsRowDxfId="805" dataCellStyle="Total"/>
    <tableColumn id="25" xr3:uid="{00000000-0010-0000-0100-000019000000}" name="24" totalsRowFunction="count" dataDxfId="804" totalsRowDxfId="803" dataCellStyle="Total"/>
    <tableColumn id="26" xr3:uid="{00000000-0010-0000-0100-00001A000000}" name="25" totalsRowFunction="count" dataDxfId="802" totalsRowDxfId="801" dataCellStyle="Total"/>
    <tableColumn id="27" xr3:uid="{00000000-0010-0000-0100-00001B000000}" name="26" totalsRowFunction="count" dataDxfId="800" totalsRowDxfId="799" dataCellStyle="Total"/>
    <tableColumn id="28" xr3:uid="{00000000-0010-0000-0100-00001C000000}" name="27" totalsRowFunction="count" dataDxfId="798" totalsRowDxfId="797" dataCellStyle="Total"/>
    <tableColumn id="29" xr3:uid="{00000000-0010-0000-0100-00001D000000}" name="28" totalsRowFunction="count" dataDxfId="796" totalsRowDxfId="795" dataCellStyle="Total"/>
    <tableColumn id="30" xr3:uid="{00000000-0010-0000-0100-00001E000000}" name="29" totalsRowFunction="count" dataDxfId="794" totalsRowDxfId="793" dataCellStyle="Total"/>
    <tableColumn id="31" xr3:uid="{00000000-0010-0000-0100-00001F000000}" name=" " dataDxfId="792" totalsRowDxfId="791" dataCellStyle="Total"/>
    <tableColumn id="32" xr3:uid="{00000000-0010-0000-0100-000020000000}" name="  " dataDxfId="790" totalsRowDxfId="789" dataCellStyle="Total"/>
    <tableColumn id="33" xr3:uid="{00000000-0010-0000-0100-000021000000}" name="Total Days" totalsRowFunction="sum" dataDxfId="788" totalsRowDxfId="787"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6:AH12" totalsRowCount="1" headerRowDxfId="786" dataDxfId="785" totalsRowDxfId="784">
  <tableColumns count="33">
    <tableColumn id="1" xr3:uid="{00000000-0010-0000-0200-000001000000}" name="Employee Name" totalsRowFunction="custom" dataDxfId="783" totalsRowDxfId="782" dataCellStyle="Employee">
      <totalsRowFormula>MonthName&amp;" Total"</totalsRowFormula>
    </tableColumn>
    <tableColumn id="2" xr3:uid="{00000000-0010-0000-0200-000002000000}" name="1" totalsRowFunction="count" dataDxfId="781" totalsRowDxfId="780"/>
    <tableColumn id="3" xr3:uid="{00000000-0010-0000-0200-000003000000}" name="2" totalsRowFunction="count" dataDxfId="779" totalsRowDxfId="778"/>
    <tableColumn id="4" xr3:uid="{00000000-0010-0000-0200-000004000000}" name="3" totalsRowFunction="count" dataDxfId="777" totalsRowDxfId="776"/>
    <tableColumn id="5" xr3:uid="{00000000-0010-0000-0200-000005000000}" name="4" totalsRowFunction="count" dataDxfId="775" totalsRowDxfId="774"/>
    <tableColumn id="6" xr3:uid="{00000000-0010-0000-0200-000006000000}" name="5" totalsRowFunction="count" dataDxfId="773" totalsRowDxfId="772"/>
    <tableColumn id="7" xr3:uid="{00000000-0010-0000-0200-000007000000}" name="6" totalsRowFunction="count" dataDxfId="771" totalsRowDxfId="770"/>
    <tableColumn id="8" xr3:uid="{00000000-0010-0000-0200-000008000000}" name="7" totalsRowFunction="count" dataDxfId="769" totalsRowDxfId="768"/>
    <tableColumn id="9" xr3:uid="{00000000-0010-0000-0200-000009000000}" name="8" totalsRowFunction="count" dataDxfId="767" totalsRowDxfId="766"/>
    <tableColumn id="10" xr3:uid="{00000000-0010-0000-0200-00000A000000}" name="9" totalsRowFunction="count" dataDxfId="765" totalsRowDxfId="764"/>
    <tableColumn id="11" xr3:uid="{00000000-0010-0000-0200-00000B000000}" name="10" totalsRowFunction="count" dataDxfId="763" totalsRowDxfId="762"/>
    <tableColumn id="12" xr3:uid="{00000000-0010-0000-0200-00000C000000}" name="11" totalsRowFunction="count" dataDxfId="761" totalsRowDxfId="760"/>
    <tableColumn id="13" xr3:uid="{00000000-0010-0000-0200-00000D000000}" name="12" totalsRowFunction="count" dataDxfId="759" totalsRowDxfId="758"/>
    <tableColumn id="14" xr3:uid="{00000000-0010-0000-0200-00000E000000}" name="13" totalsRowFunction="count" dataDxfId="757" totalsRowDxfId="756"/>
    <tableColumn id="15" xr3:uid="{00000000-0010-0000-0200-00000F000000}" name="14" totalsRowFunction="count" dataDxfId="755" totalsRowDxfId="754"/>
    <tableColumn id="16" xr3:uid="{00000000-0010-0000-0200-000010000000}" name="15" totalsRowFunction="count" dataDxfId="753" totalsRowDxfId="752"/>
    <tableColumn id="17" xr3:uid="{00000000-0010-0000-0200-000011000000}" name="16" totalsRowFunction="count" dataDxfId="751" totalsRowDxfId="750"/>
    <tableColumn id="18" xr3:uid="{00000000-0010-0000-0200-000012000000}" name="17" totalsRowFunction="count" dataDxfId="749" totalsRowDxfId="748"/>
    <tableColumn id="19" xr3:uid="{00000000-0010-0000-0200-000013000000}" name="18" totalsRowFunction="count" dataDxfId="747" totalsRowDxfId="746"/>
    <tableColumn id="20" xr3:uid="{00000000-0010-0000-0200-000014000000}" name="19" totalsRowFunction="count" dataDxfId="745" totalsRowDxfId="744"/>
    <tableColumn id="21" xr3:uid="{00000000-0010-0000-0200-000015000000}" name="20" totalsRowFunction="count" dataDxfId="743" totalsRowDxfId="742"/>
    <tableColumn id="22" xr3:uid="{00000000-0010-0000-0200-000016000000}" name="21" totalsRowFunction="count" dataDxfId="741" totalsRowDxfId="740"/>
    <tableColumn id="23" xr3:uid="{00000000-0010-0000-0200-000017000000}" name="22" totalsRowFunction="count" dataDxfId="739" totalsRowDxfId="738"/>
    <tableColumn id="24" xr3:uid="{00000000-0010-0000-0200-000018000000}" name="23" totalsRowFunction="count" dataDxfId="737" totalsRowDxfId="736"/>
    <tableColumn id="25" xr3:uid="{00000000-0010-0000-0200-000019000000}" name="24" totalsRowFunction="count" dataDxfId="735" totalsRowDxfId="734"/>
    <tableColumn id="26" xr3:uid="{00000000-0010-0000-0200-00001A000000}" name="25" totalsRowFunction="count" dataDxfId="733" totalsRowDxfId="732"/>
    <tableColumn id="27" xr3:uid="{00000000-0010-0000-0200-00001B000000}" name="26" totalsRowFunction="count" dataDxfId="731" totalsRowDxfId="730"/>
    <tableColumn id="28" xr3:uid="{00000000-0010-0000-0200-00001C000000}" name="27" totalsRowFunction="count" dataDxfId="729" totalsRowDxfId="728"/>
    <tableColumn id="29" xr3:uid="{00000000-0010-0000-0200-00001D000000}" name="28" totalsRowFunction="count" dataDxfId="727" totalsRowDxfId="726"/>
    <tableColumn id="30" xr3:uid="{00000000-0010-0000-0200-00001E000000}" name="29" totalsRowFunction="count" dataDxfId="725" totalsRowDxfId="724"/>
    <tableColumn id="31" xr3:uid="{00000000-0010-0000-0200-00001F000000}" name="30" totalsRowFunction="sum" dataDxfId="723" totalsRowDxfId="722"/>
    <tableColumn id="32" xr3:uid="{00000000-0010-0000-0200-000020000000}" name="31" totalsRowFunction="sum" dataDxfId="721" totalsRowDxfId="720" dataCellStyle="Total"/>
    <tableColumn id="33" xr3:uid="{00000000-0010-0000-0200-000021000000}" name="Total Days" totalsRowFunction="sum" dataDxfId="719" totalsRowDxfId="718"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April" displayName="April" ref="B6:AH12" totalsRowCount="1" headerRowDxfId="717" dataDxfId="716" totalsRowDxfId="715">
  <tableColumns count="33">
    <tableColumn id="1" xr3:uid="{00000000-0010-0000-0300-000001000000}" name="Employee Name" totalsRowFunction="custom" dataDxfId="714" totalsRowDxfId="713" dataCellStyle="Employee">
      <totalsRowFormula>MonthName&amp;" Total"</totalsRowFormula>
    </tableColumn>
    <tableColumn id="2" xr3:uid="{00000000-0010-0000-0300-000002000000}" name="1" totalsRowFunction="count" dataDxfId="712" totalsRowDxfId="711"/>
    <tableColumn id="3" xr3:uid="{00000000-0010-0000-0300-000003000000}" name="2" totalsRowFunction="count" dataDxfId="710" totalsRowDxfId="709"/>
    <tableColumn id="4" xr3:uid="{00000000-0010-0000-0300-000004000000}" name="3" totalsRowFunction="count" dataDxfId="708" totalsRowDxfId="707"/>
    <tableColumn id="5" xr3:uid="{00000000-0010-0000-0300-000005000000}" name="4" totalsRowFunction="count" dataDxfId="706" totalsRowDxfId="705"/>
    <tableColumn id="6" xr3:uid="{00000000-0010-0000-0300-000006000000}" name="5" totalsRowFunction="count" dataDxfId="704" totalsRowDxfId="703"/>
    <tableColumn id="7" xr3:uid="{00000000-0010-0000-0300-000007000000}" name="6" totalsRowFunction="count" dataDxfId="702" totalsRowDxfId="701"/>
    <tableColumn id="8" xr3:uid="{00000000-0010-0000-0300-000008000000}" name="7" totalsRowFunction="count" dataDxfId="700" totalsRowDxfId="699"/>
    <tableColumn id="9" xr3:uid="{00000000-0010-0000-0300-000009000000}" name="8" totalsRowFunction="count" dataDxfId="698" totalsRowDxfId="697"/>
    <tableColumn id="10" xr3:uid="{00000000-0010-0000-0300-00000A000000}" name="9" totalsRowFunction="count" dataDxfId="696" totalsRowDxfId="695"/>
    <tableColumn id="11" xr3:uid="{00000000-0010-0000-0300-00000B000000}" name="10" totalsRowFunction="count" dataDxfId="694" totalsRowDxfId="693"/>
    <tableColumn id="12" xr3:uid="{00000000-0010-0000-0300-00000C000000}" name="11" totalsRowFunction="count" dataDxfId="692" totalsRowDxfId="691"/>
    <tableColumn id="13" xr3:uid="{00000000-0010-0000-0300-00000D000000}" name="12" totalsRowFunction="count" dataDxfId="690" totalsRowDxfId="689"/>
    <tableColumn id="14" xr3:uid="{00000000-0010-0000-0300-00000E000000}" name="13" totalsRowFunction="count" dataDxfId="688" totalsRowDxfId="687"/>
    <tableColumn id="15" xr3:uid="{00000000-0010-0000-0300-00000F000000}" name="14" totalsRowFunction="count" dataDxfId="686" totalsRowDxfId="685"/>
    <tableColumn id="16" xr3:uid="{00000000-0010-0000-0300-000010000000}" name="15" totalsRowFunction="count" dataDxfId="684" totalsRowDxfId="683"/>
    <tableColumn id="17" xr3:uid="{00000000-0010-0000-0300-000011000000}" name="16" totalsRowFunction="count" dataDxfId="682" totalsRowDxfId="681"/>
    <tableColumn id="18" xr3:uid="{00000000-0010-0000-0300-000012000000}" name="17" totalsRowFunction="count" dataDxfId="680" totalsRowDxfId="679"/>
    <tableColumn id="19" xr3:uid="{00000000-0010-0000-0300-000013000000}" name="18" totalsRowFunction="count" dataDxfId="678" totalsRowDxfId="677"/>
    <tableColumn id="20" xr3:uid="{00000000-0010-0000-0300-000014000000}" name="19" totalsRowFunction="count" dataDxfId="676" totalsRowDxfId="675"/>
    <tableColumn id="21" xr3:uid="{00000000-0010-0000-0300-000015000000}" name="20" totalsRowFunction="count" dataDxfId="674" totalsRowDxfId="673"/>
    <tableColumn id="22" xr3:uid="{00000000-0010-0000-0300-000016000000}" name="21" totalsRowFunction="count" dataDxfId="672" totalsRowDxfId="671"/>
    <tableColumn id="23" xr3:uid="{00000000-0010-0000-0300-000017000000}" name="22" totalsRowFunction="count" dataDxfId="670" totalsRowDxfId="669"/>
    <tableColumn id="24" xr3:uid="{00000000-0010-0000-0300-000018000000}" name="23" totalsRowFunction="count" dataDxfId="668" totalsRowDxfId="667"/>
    <tableColumn id="25" xr3:uid="{00000000-0010-0000-0300-000019000000}" name="24" totalsRowFunction="count" dataDxfId="666" totalsRowDxfId="665"/>
    <tableColumn id="26" xr3:uid="{00000000-0010-0000-0300-00001A000000}" name="25" totalsRowFunction="count" dataDxfId="664" totalsRowDxfId="663"/>
    <tableColumn id="27" xr3:uid="{00000000-0010-0000-0300-00001B000000}" name="26" totalsRowFunction="count" dataDxfId="662" totalsRowDxfId="661"/>
    <tableColumn id="28" xr3:uid="{00000000-0010-0000-0300-00001C000000}" name="27" totalsRowFunction="count" dataDxfId="660" totalsRowDxfId="659"/>
    <tableColumn id="29" xr3:uid="{00000000-0010-0000-0300-00001D000000}" name="28" totalsRowFunction="count" dataDxfId="658" totalsRowDxfId="657"/>
    <tableColumn id="30" xr3:uid="{00000000-0010-0000-0300-00001E000000}" name="29" totalsRowFunction="count" dataDxfId="656" totalsRowDxfId="655"/>
    <tableColumn id="31" xr3:uid="{00000000-0010-0000-0300-00001F000000}" name="30" totalsRowFunction="sum" dataDxfId="654" totalsRowDxfId="653"/>
    <tableColumn id="32" xr3:uid="{00000000-0010-0000-0300-000020000000}" name="31" totalsRowFunction="sum" dataDxfId="652" totalsRowDxfId="651" dataCellStyle="Total"/>
    <tableColumn id="33" xr3:uid="{00000000-0010-0000-0300-000021000000}" name="Total Days" totalsRowFunction="sum" dataDxfId="650" totalsRowDxfId="649" dataCellStyle="Total">
      <calculatedColumnFormula>COUNTA(April[[#This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May" displayName="May" ref="B6:AH12" totalsRowCount="1" headerRowDxfId="648" dataDxfId="647" totalsRowDxfId="646">
  <tableColumns count="33">
    <tableColumn id="1" xr3:uid="{00000000-0010-0000-0400-000001000000}" name="Employee Name" totalsRowFunction="custom" dataDxfId="645" totalsRowDxfId="644" dataCellStyle="Employee">
      <totalsRowFormula>MonthName&amp;" Total"</totalsRowFormula>
    </tableColumn>
    <tableColumn id="2" xr3:uid="{00000000-0010-0000-0400-000002000000}" name="1" totalsRowFunction="count" dataDxfId="643" totalsRowDxfId="642"/>
    <tableColumn id="3" xr3:uid="{00000000-0010-0000-0400-000003000000}" name="2" totalsRowFunction="count" dataDxfId="641" totalsRowDxfId="640"/>
    <tableColumn id="4" xr3:uid="{00000000-0010-0000-0400-000004000000}" name="3" totalsRowFunction="count" dataDxfId="639" totalsRowDxfId="638"/>
    <tableColumn id="5" xr3:uid="{00000000-0010-0000-0400-000005000000}" name="4" totalsRowFunction="count" dataDxfId="637" totalsRowDxfId="636"/>
    <tableColumn id="6" xr3:uid="{00000000-0010-0000-0400-000006000000}" name="5" totalsRowFunction="count" dataDxfId="635" totalsRowDxfId="634"/>
    <tableColumn id="7" xr3:uid="{00000000-0010-0000-0400-000007000000}" name="6" totalsRowFunction="count" dataDxfId="633" totalsRowDxfId="632"/>
    <tableColumn id="8" xr3:uid="{00000000-0010-0000-0400-000008000000}" name="7" totalsRowFunction="count" dataDxfId="631" totalsRowDxfId="630"/>
    <tableColumn id="9" xr3:uid="{00000000-0010-0000-0400-000009000000}" name="8" totalsRowFunction="count" dataDxfId="629" totalsRowDxfId="628"/>
    <tableColumn id="10" xr3:uid="{00000000-0010-0000-0400-00000A000000}" name="9" totalsRowFunction="count" dataDxfId="627" totalsRowDxfId="626"/>
    <tableColumn id="11" xr3:uid="{00000000-0010-0000-0400-00000B000000}" name="10" totalsRowFunction="count" dataDxfId="625" totalsRowDxfId="624"/>
    <tableColumn id="12" xr3:uid="{00000000-0010-0000-0400-00000C000000}" name="11" totalsRowFunction="count" dataDxfId="623" totalsRowDxfId="622"/>
    <tableColumn id="13" xr3:uid="{00000000-0010-0000-0400-00000D000000}" name="12" totalsRowFunction="count" dataDxfId="621" totalsRowDxfId="620"/>
    <tableColumn id="14" xr3:uid="{00000000-0010-0000-0400-00000E000000}" name="13" totalsRowFunction="count" dataDxfId="619" totalsRowDxfId="618"/>
    <tableColumn id="15" xr3:uid="{00000000-0010-0000-0400-00000F000000}" name="14" totalsRowFunction="count" dataDxfId="617" totalsRowDxfId="616"/>
    <tableColumn id="16" xr3:uid="{00000000-0010-0000-0400-000010000000}" name="15" totalsRowFunction="count" dataDxfId="615" totalsRowDxfId="614"/>
    <tableColumn id="17" xr3:uid="{00000000-0010-0000-0400-000011000000}" name="16" totalsRowFunction="count" dataDxfId="613" totalsRowDxfId="612"/>
    <tableColumn id="18" xr3:uid="{00000000-0010-0000-0400-000012000000}" name="17" totalsRowFunction="count" dataDxfId="611" totalsRowDxfId="610"/>
    <tableColumn id="19" xr3:uid="{00000000-0010-0000-0400-000013000000}" name="18" totalsRowFunction="count" dataDxfId="609" totalsRowDxfId="608"/>
    <tableColumn id="20" xr3:uid="{00000000-0010-0000-0400-000014000000}" name="19" totalsRowFunction="count" dataDxfId="607" totalsRowDxfId="606"/>
    <tableColumn id="21" xr3:uid="{00000000-0010-0000-0400-000015000000}" name="20" totalsRowFunction="count" dataDxfId="605" totalsRowDxfId="604"/>
    <tableColumn id="22" xr3:uid="{00000000-0010-0000-0400-000016000000}" name="21" totalsRowFunction="count" dataDxfId="603" totalsRowDxfId="602"/>
    <tableColumn id="23" xr3:uid="{00000000-0010-0000-0400-000017000000}" name="22" totalsRowFunction="count" dataDxfId="601" totalsRowDxfId="600"/>
    <tableColumn id="24" xr3:uid="{00000000-0010-0000-0400-000018000000}" name="23" totalsRowFunction="count" dataDxfId="599" totalsRowDxfId="598"/>
    <tableColumn id="25" xr3:uid="{00000000-0010-0000-0400-000019000000}" name="24" totalsRowFunction="count" dataDxfId="597" totalsRowDxfId="596"/>
    <tableColumn id="26" xr3:uid="{00000000-0010-0000-0400-00001A000000}" name="25" totalsRowFunction="count" dataDxfId="595" totalsRowDxfId="594"/>
    <tableColumn id="27" xr3:uid="{00000000-0010-0000-0400-00001B000000}" name="26" totalsRowFunction="count" dataDxfId="593" totalsRowDxfId="592"/>
    <tableColumn id="28" xr3:uid="{00000000-0010-0000-0400-00001C000000}" name="27" totalsRowFunction="count" dataDxfId="591" totalsRowDxfId="590"/>
    <tableColumn id="29" xr3:uid="{00000000-0010-0000-0400-00001D000000}" name="28" totalsRowFunction="count" dataDxfId="589" totalsRowDxfId="588"/>
    <tableColumn id="30" xr3:uid="{00000000-0010-0000-0400-00001E000000}" name="29" totalsRowFunction="count" dataDxfId="587" totalsRowDxfId="586"/>
    <tableColumn id="31" xr3:uid="{00000000-0010-0000-0400-00001F000000}" name="30" totalsRowFunction="sum" dataDxfId="585" totalsRowDxfId="584"/>
    <tableColumn id="32" xr3:uid="{00000000-0010-0000-0400-000020000000}" name="31" totalsRowFunction="sum" dataDxfId="583" totalsRowDxfId="582" dataCellStyle="Total"/>
    <tableColumn id="33" xr3:uid="{00000000-0010-0000-0400-000021000000}" name="Total Days" totalsRowFunction="sum" dataDxfId="581" totalsRowDxfId="580" dataCellStyle="Total">
      <calculatedColumnFormula>COUNTA(May[[#This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6:AH12" totalsRowCount="1" headerRowDxfId="579" dataDxfId="578" totalsRowDxfId="577">
  <tableColumns count="33">
    <tableColumn id="1" xr3:uid="{00000000-0010-0000-0500-000001000000}" name="Employee Name" totalsRowFunction="custom" dataDxfId="576" totalsRowDxfId="575" dataCellStyle="Employee">
      <totalsRowFormula>MonthName&amp;" Total"</totalsRowFormula>
    </tableColumn>
    <tableColumn id="2" xr3:uid="{00000000-0010-0000-0500-000002000000}" name="1" totalsRowFunction="count" dataDxfId="574" totalsRowDxfId="573"/>
    <tableColumn id="3" xr3:uid="{00000000-0010-0000-0500-000003000000}" name="2" totalsRowFunction="count" dataDxfId="572" totalsRowDxfId="571"/>
    <tableColumn id="4" xr3:uid="{00000000-0010-0000-0500-000004000000}" name="3" totalsRowFunction="count" dataDxfId="570" totalsRowDxfId="569"/>
    <tableColumn id="5" xr3:uid="{00000000-0010-0000-0500-000005000000}" name="4" totalsRowFunction="count" dataDxfId="568" totalsRowDxfId="567"/>
    <tableColumn id="6" xr3:uid="{00000000-0010-0000-0500-000006000000}" name="5" totalsRowFunction="count" dataDxfId="566" totalsRowDxfId="565"/>
    <tableColumn id="7" xr3:uid="{00000000-0010-0000-0500-000007000000}" name="6" totalsRowFunction="count" dataDxfId="564" totalsRowDxfId="563"/>
    <tableColumn id="8" xr3:uid="{00000000-0010-0000-0500-000008000000}" name="7" totalsRowFunction="count" dataDxfId="562" totalsRowDxfId="561"/>
    <tableColumn id="9" xr3:uid="{00000000-0010-0000-0500-000009000000}" name="8" totalsRowFunction="count" dataDxfId="560" totalsRowDxfId="559"/>
    <tableColumn id="10" xr3:uid="{00000000-0010-0000-0500-00000A000000}" name="9" totalsRowFunction="count" dataDxfId="558" totalsRowDxfId="557"/>
    <tableColumn id="11" xr3:uid="{00000000-0010-0000-0500-00000B000000}" name="10" totalsRowFunction="count" dataDxfId="556" totalsRowDxfId="555"/>
    <tableColumn id="12" xr3:uid="{00000000-0010-0000-0500-00000C000000}" name="11" totalsRowFunction="count" dataDxfId="554" totalsRowDxfId="553"/>
    <tableColumn id="13" xr3:uid="{00000000-0010-0000-0500-00000D000000}" name="12" totalsRowFunction="count" dataDxfId="552" totalsRowDxfId="551"/>
    <tableColumn id="14" xr3:uid="{00000000-0010-0000-0500-00000E000000}" name="13" totalsRowFunction="count" dataDxfId="550" totalsRowDxfId="549"/>
    <tableColumn id="15" xr3:uid="{00000000-0010-0000-0500-00000F000000}" name="14" totalsRowFunction="count" dataDxfId="548" totalsRowDxfId="547"/>
    <tableColumn id="16" xr3:uid="{00000000-0010-0000-0500-000010000000}" name="15" totalsRowFunction="count" dataDxfId="546" totalsRowDxfId="545"/>
    <tableColumn id="17" xr3:uid="{00000000-0010-0000-0500-000011000000}" name="16" totalsRowFunction="count" dataDxfId="544" totalsRowDxfId="543"/>
    <tableColumn id="18" xr3:uid="{00000000-0010-0000-0500-000012000000}" name="17" totalsRowFunction="count" dataDxfId="542" totalsRowDxfId="541"/>
    <tableColumn id="19" xr3:uid="{00000000-0010-0000-0500-000013000000}" name="18" totalsRowFunction="count" dataDxfId="540" totalsRowDxfId="539"/>
    <tableColumn id="20" xr3:uid="{00000000-0010-0000-0500-000014000000}" name="19" totalsRowFunction="count" dataDxfId="538" totalsRowDxfId="537"/>
    <tableColumn id="21" xr3:uid="{00000000-0010-0000-0500-000015000000}" name="20" totalsRowFunction="count" dataDxfId="536" totalsRowDxfId="535"/>
    <tableColumn id="22" xr3:uid="{00000000-0010-0000-0500-000016000000}" name="21" totalsRowFunction="count" dataDxfId="534" totalsRowDxfId="533"/>
    <tableColumn id="23" xr3:uid="{00000000-0010-0000-0500-000017000000}" name="22" totalsRowFunction="count" dataDxfId="532" totalsRowDxfId="531"/>
    <tableColumn id="24" xr3:uid="{00000000-0010-0000-0500-000018000000}" name="23" totalsRowFunction="count" dataDxfId="530" totalsRowDxfId="529"/>
    <tableColumn id="25" xr3:uid="{00000000-0010-0000-0500-000019000000}" name="24" totalsRowFunction="count" dataDxfId="528" totalsRowDxfId="527"/>
    <tableColumn id="26" xr3:uid="{00000000-0010-0000-0500-00001A000000}" name="25" totalsRowFunction="count" dataDxfId="526" totalsRowDxfId="525"/>
    <tableColumn id="27" xr3:uid="{00000000-0010-0000-0500-00001B000000}" name="26" totalsRowFunction="count" dataDxfId="524" totalsRowDxfId="523"/>
    <tableColumn id="28" xr3:uid="{00000000-0010-0000-0500-00001C000000}" name="27" totalsRowFunction="count" dataDxfId="522" totalsRowDxfId="521"/>
    <tableColumn id="29" xr3:uid="{00000000-0010-0000-0500-00001D000000}" name="28" totalsRowFunction="count" dataDxfId="520" totalsRowDxfId="519"/>
    <tableColumn id="30" xr3:uid="{00000000-0010-0000-0500-00001E000000}" name="29" totalsRowFunction="count" dataDxfId="518" totalsRowDxfId="517"/>
    <tableColumn id="31" xr3:uid="{00000000-0010-0000-0500-00001F000000}" name="30" totalsRowFunction="sum" dataDxfId="516" totalsRowDxfId="515"/>
    <tableColumn id="32" xr3:uid="{00000000-0010-0000-0500-000020000000}" name="31" totalsRowFunction="sum" dataDxfId="514" totalsRowDxfId="513" dataCellStyle="Total"/>
    <tableColumn id="33" xr3:uid="{00000000-0010-0000-0500-000021000000}" name="Total Days" totalsRowFunction="sum" dataDxfId="512" totalsRowDxfId="511" dataCellStyle="Total">
      <calculatedColumnFormula>COUNTA(June[[#This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6:AH12" totalsRowCount="1" headerRowDxfId="510" dataDxfId="509" totalsRowDxfId="508">
  <tableColumns count="33">
    <tableColumn id="1" xr3:uid="{00000000-0010-0000-0600-000001000000}" name="Employee Name" totalsRowFunction="custom" dataDxfId="507" totalsRowDxfId="506" dataCellStyle="Employee">
      <totalsRowFormula>MonthName&amp;" Total"</totalsRowFormula>
    </tableColumn>
    <tableColumn id="2" xr3:uid="{00000000-0010-0000-0600-000002000000}" name="1" totalsRowFunction="count" dataDxfId="505" totalsRowDxfId="504"/>
    <tableColumn id="3" xr3:uid="{00000000-0010-0000-0600-000003000000}" name="2" totalsRowFunction="count" dataDxfId="503" totalsRowDxfId="502"/>
    <tableColumn id="4" xr3:uid="{00000000-0010-0000-0600-000004000000}" name="3" totalsRowFunction="count" dataDxfId="501" totalsRowDxfId="500"/>
    <tableColumn id="5" xr3:uid="{00000000-0010-0000-0600-000005000000}" name="4" totalsRowFunction="count" dataDxfId="499" totalsRowDxfId="498"/>
    <tableColumn id="6" xr3:uid="{00000000-0010-0000-0600-000006000000}" name="5" totalsRowFunction="count" dataDxfId="497" totalsRowDxfId="496"/>
    <tableColumn id="7" xr3:uid="{00000000-0010-0000-0600-000007000000}" name="6" totalsRowFunction="count" dataDxfId="495" totalsRowDxfId="494"/>
    <tableColumn id="8" xr3:uid="{00000000-0010-0000-0600-000008000000}" name="7" totalsRowFunction="count" dataDxfId="493" totalsRowDxfId="492"/>
    <tableColumn id="9" xr3:uid="{00000000-0010-0000-0600-000009000000}" name="8" totalsRowFunction="count" dataDxfId="491" totalsRowDxfId="490"/>
    <tableColumn id="10" xr3:uid="{00000000-0010-0000-0600-00000A000000}" name="9" totalsRowFunction="count" dataDxfId="489" totalsRowDxfId="488"/>
    <tableColumn id="11" xr3:uid="{00000000-0010-0000-0600-00000B000000}" name="10" totalsRowFunction="count" dataDxfId="487" totalsRowDxfId="486"/>
    <tableColumn id="12" xr3:uid="{00000000-0010-0000-0600-00000C000000}" name="11" totalsRowFunction="count" dataDxfId="485" totalsRowDxfId="484"/>
    <tableColumn id="13" xr3:uid="{00000000-0010-0000-0600-00000D000000}" name="12" totalsRowFunction="count" dataDxfId="483" totalsRowDxfId="482"/>
    <tableColumn id="14" xr3:uid="{00000000-0010-0000-0600-00000E000000}" name="13" totalsRowFunction="count" dataDxfId="481" totalsRowDxfId="480"/>
    <tableColumn id="15" xr3:uid="{00000000-0010-0000-0600-00000F000000}" name="14" totalsRowFunction="count" dataDxfId="479" totalsRowDxfId="478"/>
    <tableColumn id="16" xr3:uid="{00000000-0010-0000-0600-000010000000}" name="15" totalsRowFunction="count" dataDxfId="477" totalsRowDxfId="476"/>
    <tableColumn id="17" xr3:uid="{00000000-0010-0000-0600-000011000000}" name="16" totalsRowFunction="count" dataDxfId="475" totalsRowDxfId="474"/>
    <tableColumn id="18" xr3:uid="{00000000-0010-0000-0600-000012000000}" name="17" totalsRowFunction="count" dataDxfId="473" totalsRowDxfId="472"/>
    <tableColumn id="19" xr3:uid="{00000000-0010-0000-0600-000013000000}" name="18" totalsRowFunction="count" dataDxfId="471" totalsRowDxfId="470"/>
    <tableColumn id="20" xr3:uid="{00000000-0010-0000-0600-000014000000}" name="19" totalsRowFunction="count" dataDxfId="469" totalsRowDxfId="468"/>
    <tableColumn id="21" xr3:uid="{00000000-0010-0000-0600-000015000000}" name="20" totalsRowFunction="count" dataDxfId="467" totalsRowDxfId="466"/>
    <tableColumn id="22" xr3:uid="{00000000-0010-0000-0600-000016000000}" name="21" totalsRowFunction="count" dataDxfId="465" totalsRowDxfId="464"/>
    <tableColumn id="23" xr3:uid="{00000000-0010-0000-0600-000017000000}" name="22" totalsRowFunction="count" dataDxfId="463" totalsRowDxfId="462"/>
    <tableColumn id="24" xr3:uid="{00000000-0010-0000-0600-000018000000}" name="23" totalsRowFunction="count" dataDxfId="461" totalsRowDxfId="460"/>
    <tableColumn id="25" xr3:uid="{00000000-0010-0000-0600-000019000000}" name="24" totalsRowFunction="count" dataDxfId="459" totalsRowDxfId="458"/>
    <tableColumn id="26" xr3:uid="{00000000-0010-0000-0600-00001A000000}" name="25" totalsRowFunction="count" dataDxfId="457" totalsRowDxfId="456"/>
    <tableColumn id="27" xr3:uid="{00000000-0010-0000-0600-00001B000000}" name="26" totalsRowFunction="count" dataDxfId="455" totalsRowDxfId="454"/>
    <tableColumn id="28" xr3:uid="{00000000-0010-0000-0600-00001C000000}" name="27" totalsRowFunction="count" dataDxfId="453" totalsRowDxfId="452"/>
    <tableColumn id="29" xr3:uid="{00000000-0010-0000-0600-00001D000000}" name="28" totalsRowFunction="count" dataDxfId="451" totalsRowDxfId="450"/>
    <tableColumn id="30" xr3:uid="{00000000-0010-0000-0600-00001E000000}" name="29" totalsRowFunction="count" dataDxfId="449" totalsRowDxfId="448"/>
    <tableColumn id="31" xr3:uid="{00000000-0010-0000-0600-00001F000000}" name="30" totalsRowFunction="sum" dataDxfId="447" totalsRowDxfId="446"/>
    <tableColumn id="32" xr3:uid="{00000000-0010-0000-0600-000020000000}" name="31" totalsRowFunction="sum" dataDxfId="445" totalsRowDxfId="444" dataCellStyle="Total"/>
    <tableColumn id="33" xr3:uid="{00000000-0010-0000-0600-000021000000}" name="Total Days" totalsRowFunction="sum" dataDxfId="443" totalsRowDxfId="442"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6:AH12" totalsRowCount="1" headerRowDxfId="441" dataDxfId="440" totalsRowDxfId="439">
  <tableColumns count="33">
    <tableColumn id="1" xr3:uid="{00000000-0010-0000-0700-000001000000}" name="Employee Name" totalsRowFunction="custom" dataDxfId="438" totalsRowDxfId="437" dataCellStyle="Employee">
      <totalsRowFormula>MonthName&amp;" Total"</totalsRowFormula>
    </tableColumn>
    <tableColumn id="2" xr3:uid="{00000000-0010-0000-0700-000002000000}" name="1" totalsRowFunction="count" dataDxfId="436" totalsRowDxfId="435"/>
    <tableColumn id="3" xr3:uid="{00000000-0010-0000-0700-000003000000}" name="2" totalsRowFunction="count" dataDxfId="434" totalsRowDxfId="433"/>
    <tableColumn id="4" xr3:uid="{00000000-0010-0000-0700-000004000000}" name="3" totalsRowFunction="count" dataDxfId="432" totalsRowDxfId="431"/>
    <tableColumn id="5" xr3:uid="{00000000-0010-0000-0700-000005000000}" name="4" totalsRowFunction="count" dataDxfId="430" totalsRowDxfId="429"/>
    <tableColumn id="6" xr3:uid="{00000000-0010-0000-0700-000006000000}" name="5" totalsRowFunction="count" dataDxfId="428" totalsRowDxfId="427"/>
    <tableColumn id="7" xr3:uid="{00000000-0010-0000-0700-000007000000}" name="6" totalsRowFunction="count" dataDxfId="426" totalsRowDxfId="425"/>
    <tableColumn id="8" xr3:uid="{00000000-0010-0000-0700-000008000000}" name="7" totalsRowFunction="count" dataDxfId="424" totalsRowDxfId="423"/>
    <tableColumn id="9" xr3:uid="{00000000-0010-0000-0700-000009000000}" name="8" totalsRowFunction="count" dataDxfId="422" totalsRowDxfId="421"/>
    <tableColumn id="10" xr3:uid="{00000000-0010-0000-0700-00000A000000}" name="9" totalsRowFunction="count" dataDxfId="420" totalsRowDxfId="419"/>
    <tableColumn id="11" xr3:uid="{00000000-0010-0000-0700-00000B000000}" name="10" totalsRowFunction="count" dataDxfId="418" totalsRowDxfId="417"/>
    <tableColumn id="12" xr3:uid="{00000000-0010-0000-0700-00000C000000}" name="11" totalsRowFunction="count" dataDxfId="416" totalsRowDxfId="415"/>
    <tableColumn id="13" xr3:uid="{00000000-0010-0000-0700-00000D000000}" name="12" totalsRowFunction="count" dataDxfId="414" totalsRowDxfId="413"/>
    <tableColumn id="14" xr3:uid="{00000000-0010-0000-0700-00000E000000}" name="13" totalsRowFunction="count" dataDxfId="412" totalsRowDxfId="411"/>
    <tableColumn id="15" xr3:uid="{00000000-0010-0000-0700-00000F000000}" name="14" totalsRowFunction="count" dataDxfId="410" totalsRowDxfId="409"/>
    <tableColumn id="16" xr3:uid="{00000000-0010-0000-0700-000010000000}" name="15" totalsRowFunction="count" dataDxfId="408" totalsRowDxfId="407"/>
    <tableColumn id="17" xr3:uid="{00000000-0010-0000-0700-000011000000}" name="16" totalsRowFunction="count" dataDxfId="406" totalsRowDxfId="405"/>
    <tableColumn id="18" xr3:uid="{00000000-0010-0000-0700-000012000000}" name="17" totalsRowFunction="count" dataDxfId="404" totalsRowDxfId="403"/>
    <tableColumn id="19" xr3:uid="{00000000-0010-0000-0700-000013000000}" name="18" totalsRowFunction="count" dataDxfId="402" totalsRowDxfId="401"/>
    <tableColumn id="20" xr3:uid="{00000000-0010-0000-0700-000014000000}" name="19" totalsRowFunction="count" dataDxfId="400" totalsRowDxfId="399"/>
    <tableColumn id="21" xr3:uid="{00000000-0010-0000-0700-000015000000}" name="20" totalsRowFunction="count" dataDxfId="398" totalsRowDxfId="397"/>
    <tableColumn id="22" xr3:uid="{00000000-0010-0000-0700-000016000000}" name="21" totalsRowFunction="count" dataDxfId="396" totalsRowDxfId="395"/>
    <tableColumn id="23" xr3:uid="{00000000-0010-0000-0700-000017000000}" name="22" totalsRowFunction="count" dataDxfId="394" totalsRowDxfId="393"/>
    <tableColumn id="24" xr3:uid="{00000000-0010-0000-0700-000018000000}" name="23" totalsRowFunction="count" dataDxfId="392" totalsRowDxfId="391"/>
    <tableColumn id="25" xr3:uid="{00000000-0010-0000-0700-000019000000}" name="24" totalsRowFunction="count" dataDxfId="390" totalsRowDxfId="389"/>
    <tableColumn id="26" xr3:uid="{00000000-0010-0000-0700-00001A000000}" name="25" totalsRowFunction="count" dataDxfId="388" totalsRowDxfId="387"/>
    <tableColumn id="27" xr3:uid="{00000000-0010-0000-0700-00001B000000}" name="26" totalsRowFunction="count" dataDxfId="386" totalsRowDxfId="385"/>
    <tableColumn id="28" xr3:uid="{00000000-0010-0000-0700-00001C000000}" name="27" totalsRowFunction="count" dataDxfId="384" totalsRowDxfId="383"/>
    <tableColumn id="29" xr3:uid="{00000000-0010-0000-0700-00001D000000}" name="28" totalsRowFunction="count" dataDxfId="382" totalsRowDxfId="381"/>
    <tableColumn id="30" xr3:uid="{00000000-0010-0000-0700-00001E000000}" name="29" totalsRowFunction="count" dataDxfId="380" totalsRowDxfId="379"/>
    <tableColumn id="31" xr3:uid="{00000000-0010-0000-0700-00001F000000}" name="30" totalsRowFunction="sum" dataDxfId="378" totalsRowDxfId="377"/>
    <tableColumn id="32" xr3:uid="{00000000-0010-0000-0700-000020000000}" name="31" totalsRowFunction="sum" dataDxfId="376" totalsRowDxfId="375" dataCellStyle="Total"/>
    <tableColumn id="33" xr3:uid="{00000000-0010-0000-0700-000021000000}" name="Total Days" totalsRowFunction="sum" dataDxfId="374" totalsRowDxfId="373"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6:AH12" totalsRowCount="1" headerRowDxfId="372" dataDxfId="371" totalsRowDxfId="370">
  <tableColumns count="33">
    <tableColumn id="1" xr3:uid="{00000000-0010-0000-0800-000001000000}" name="Employee Name" totalsRowFunction="custom" dataDxfId="369" totalsRowDxfId="368" dataCellStyle="Employee">
      <totalsRowFormula>MonthName&amp;" Total"</totalsRowFormula>
    </tableColumn>
    <tableColumn id="2" xr3:uid="{00000000-0010-0000-0800-000002000000}" name="1" totalsRowFunction="count" dataDxfId="367" totalsRowDxfId="366"/>
    <tableColumn id="3" xr3:uid="{00000000-0010-0000-0800-000003000000}" name="2" totalsRowFunction="count" dataDxfId="365" totalsRowDxfId="364"/>
    <tableColumn id="4" xr3:uid="{00000000-0010-0000-0800-000004000000}" name="3" totalsRowFunction="count" dataDxfId="363" totalsRowDxfId="362"/>
    <tableColumn id="5" xr3:uid="{00000000-0010-0000-0800-000005000000}" name="4" totalsRowFunction="count" dataDxfId="361" totalsRowDxfId="360"/>
    <tableColumn id="6" xr3:uid="{00000000-0010-0000-0800-000006000000}" name="5" totalsRowFunction="count" dataDxfId="359" totalsRowDxfId="358"/>
    <tableColumn id="7" xr3:uid="{00000000-0010-0000-0800-000007000000}" name="6" totalsRowFunction="count" dataDxfId="357" totalsRowDxfId="356"/>
    <tableColumn id="8" xr3:uid="{00000000-0010-0000-0800-000008000000}" name="7" totalsRowFunction="count" dataDxfId="355" totalsRowDxfId="354"/>
    <tableColumn id="9" xr3:uid="{00000000-0010-0000-0800-000009000000}" name="8" totalsRowFunction="count" dataDxfId="353" totalsRowDxfId="352"/>
    <tableColumn id="10" xr3:uid="{00000000-0010-0000-0800-00000A000000}" name="9" totalsRowFunction="count" dataDxfId="351" totalsRowDxfId="350"/>
    <tableColumn id="11" xr3:uid="{00000000-0010-0000-0800-00000B000000}" name="10" totalsRowFunction="count" dataDxfId="349" totalsRowDxfId="348"/>
    <tableColumn id="12" xr3:uid="{00000000-0010-0000-0800-00000C000000}" name="11" totalsRowFunction="count" dataDxfId="347" totalsRowDxfId="346"/>
    <tableColumn id="13" xr3:uid="{00000000-0010-0000-0800-00000D000000}" name="12" totalsRowFunction="count" dataDxfId="345" totalsRowDxfId="344"/>
    <tableColumn id="14" xr3:uid="{00000000-0010-0000-0800-00000E000000}" name="13" totalsRowFunction="count" dataDxfId="343" totalsRowDxfId="342"/>
    <tableColumn id="15" xr3:uid="{00000000-0010-0000-0800-00000F000000}" name="14" totalsRowFunction="count" dataDxfId="341" totalsRowDxfId="340"/>
    <tableColumn id="16" xr3:uid="{00000000-0010-0000-0800-000010000000}" name="15" totalsRowFunction="count" dataDxfId="339" totalsRowDxfId="338"/>
    <tableColumn id="17" xr3:uid="{00000000-0010-0000-0800-000011000000}" name="16" totalsRowFunction="count" dataDxfId="337" totalsRowDxfId="336"/>
    <tableColumn id="18" xr3:uid="{00000000-0010-0000-0800-000012000000}" name="17" totalsRowFunction="count" dataDxfId="335" totalsRowDxfId="334"/>
    <tableColumn id="19" xr3:uid="{00000000-0010-0000-0800-000013000000}" name="18" totalsRowFunction="count" dataDxfId="333" totalsRowDxfId="332"/>
    <tableColumn id="20" xr3:uid="{00000000-0010-0000-0800-000014000000}" name="19" totalsRowFunction="count" dataDxfId="331" totalsRowDxfId="330"/>
    <tableColumn id="21" xr3:uid="{00000000-0010-0000-0800-000015000000}" name="20" totalsRowFunction="count" dataDxfId="329" totalsRowDxfId="328"/>
    <tableColumn id="22" xr3:uid="{00000000-0010-0000-0800-000016000000}" name="21" totalsRowFunction="count" dataDxfId="327" totalsRowDxfId="326"/>
    <tableColumn id="23" xr3:uid="{00000000-0010-0000-0800-000017000000}" name="22" totalsRowFunction="count" dataDxfId="325" totalsRowDxfId="324"/>
    <tableColumn id="24" xr3:uid="{00000000-0010-0000-0800-000018000000}" name="23" totalsRowFunction="count" dataDxfId="323" totalsRowDxfId="322"/>
    <tableColumn id="25" xr3:uid="{00000000-0010-0000-0800-000019000000}" name="24" totalsRowFunction="count" dataDxfId="321" totalsRowDxfId="320"/>
    <tableColumn id="26" xr3:uid="{00000000-0010-0000-0800-00001A000000}" name="25" totalsRowFunction="count" dataDxfId="319" totalsRowDxfId="318"/>
    <tableColumn id="27" xr3:uid="{00000000-0010-0000-0800-00001B000000}" name="26" totalsRowFunction="count" dataDxfId="317" totalsRowDxfId="316"/>
    <tableColumn id="28" xr3:uid="{00000000-0010-0000-0800-00001C000000}" name="27" totalsRowFunction="count" dataDxfId="315" totalsRowDxfId="314"/>
    <tableColumn id="29" xr3:uid="{00000000-0010-0000-0800-00001D000000}" name="28" totalsRowFunction="count" dataDxfId="313" totalsRowDxfId="312"/>
    <tableColumn id="30" xr3:uid="{00000000-0010-0000-0800-00001E000000}" name="29" totalsRowFunction="count" dataDxfId="311" totalsRowDxfId="310"/>
    <tableColumn id="31" xr3:uid="{00000000-0010-0000-0800-00001F000000}" name="30" totalsRowFunction="sum" dataDxfId="309" totalsRowDxfId="308"/>
    <tableColumn id="32" xr3:uid="{00000000-0010-0000-0800-000020000000}" name="31" totalsRowFunction="sum" dataDxfId="307" totalsRowDxfId="306" dataCellStyle="Total"/>
    <tableColumn id="33" xr3:uid="{00000000-0010-0000-0800-000021000000}" name="Total Days" totalsRowFunction="sum" dataDxfId="305" totalsRowDxfId="304" dataCellStyle="Total">
      <calculatedColumnFormula>COUNTA(September[[#This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89999084444715716"/>
    <pageSetUpPr fitToPage="1"/>
  </sheetPr>
  <dimension ref="A1:AH12"/>
  <sheetViews>
    <sheetView showGridLines="0" zoomScaleNormal="100" workbookViewId="0">
      <selection activeCell="J10" sqref="J10"/>
    </sheetView>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1:34" ht="50.1" customHeight="1" x14ac:dyDescent="0.25">
      <c r="A1" s="18"/>
      <c r="B1" s="14" t="s">
        <v>0</v>
      </c>
    </row>
    <row r="2" spans="1: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1:34" ht="15" customHeight="1" x14ac:dyDescent="0.25">
      <c r="AH3" s="20" t="s">
        <v>62</v>
      </c>
    </row>
    <row r="4" spans="1:34" ht="30" customHeight="1" x14ac:dyDescent="0.25">
      <c r="B4" s="12" t="s">
        <v>42</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v>2016</v>
      </c>
    </row>
    <row r="5" spans="1:34" ht="15" customHeight="1" x14ac:dyDescent="0.25">
      <c r="B5" s="12"/>
      <c r="C5" s="2" t="str">
        <f>TEXT(WEEKDAY(DATE(CalendarYear,1,1),1),"aaa")</f>
        <v>Fri</v>
      </c>
      <c r="D5" s="2" t="str">
        <f>TEXT(WEEKDAY(DATE(CalendarYear,1,2),1),"aaa")</f>
        <v>Sat</v>
      </c>
      <c r="E5" s="2" t="str">
        <f>TEXT(WEEKDAY(DATE(CalendarYear,1,3),1),"aaa")</f>
        <v>Sun</v>
      </c>
      <c r="F5" s="2" t="str">
        <f>TEXT(WEEKDAY(DATE(CalendarYear,1,4),1),"aaa")</f>
        <v>Mon</v>
      </c>
      <c r="G5" s="2" t="str">
        <f>TEXT(WEEKDAY(DATE(CalendarYear,1,5),1),"aaa")</f>
        <v>Tue</v>
      </c>
      <c r="H5" s="2" t="str">
        <f>TEXT(WEEKDAY(DATE(CalendarYear,1,6),1),"aaa")</f>
        <v>Wed</v>
      </c>
      <c r="I5" s="2" t="str">
        <f>TEXT(WEEKDAY(DATE(CalendarYear,1,7),1),"aaa")</f>
        <v>Thu</v>
      </c>
      <c r="J5" s="2" t="str">
        <f>TEXT(WEEKDAY(DATE(CalendarYear,1,8),1),"aaa")</f>
        <v>Fri</v>
      </c>
      <c r="K5" s="2" t="str">
        <f>TEXT(WEEKDAY(DATE(CalendarYear,1,9),1),"aaa")</f>
        <v>Sat</v>
      </c>
      <c r="L5" s="2" t="str">
        <f>TEXT(WEEKDAY(DATE(CalendarYear,1,10),1),"aaa")</f>
        <v>Sun</v>
      </c>
      <c r="M5" s="2" t="str">
        <f>TEXT(WEEKDAY(DATE(CalendarYear,1,11),1),"aaa")</f>
        <v>Mon</v>
      </c>
      <c r="N5" s="2" t="str">
        <f>TEXT(WEEKDAY(DATE(CalendarYear,1,12),1),"aaa")</f>
        <v>Tue</v>
      </c>
      <c r="O5" s="2" t="str">
        <f>TEXT(WEEKDAY(DATE(CalendarYear,1,13),1),"aaa")</f>
        <v>Wed</v>
      </c>
      <c r="P5" s="2" t="str">
        <f>TEXT(WEEKDAY(DATE(CalendarYear,1,14),1),"aaa")</f>
        <v>Thu</v>
      </c>
      <c r="Q5" s="2" t="str">
        <f>TEXT(WEEKDAY(DATE(CalendarYear,1,15),1),"aaa")</f>
        <v>Fri</v>
      </c>
      <c r="R5" s="2" t="str">
        <f>TEXT(WEEKDAY(DATE(CalendarYear,1,16),1),"aaa")</f>
        <v>Sat</v>
      </c>
      <c r="S5" s="2" t="str">
        <f>TEXT(WEEKDAY(DATE(CalendarYear,1,17),1),"aaa")</f>
        <v>Sun</v>
      </c>
      <c r="T5" s="2" t="str">
        <f>TEXT(WEEKDAY(DATE(CalendarYear,1,18),1),"aaa")</f>
        <v>Mon</v>
      </c>
      <c r="U5" s="2" t="str">
        <f>TEXT(WEEKDAY(DATE(CalendarYear,1,19),1),"aaa")</f>
        <v>Tue</v>
      </c>
      <c r="V5" s="2" t="str">
        <f>TEXT(WEEKDAY(DATE(CalendarYear,1,20),1),"aaa")</f>
        <v>Wed</v>
      </c>
      <c r="W5" s="2" t="str">
        <f>TEXT(WEEKDAY(DATE(CalendarYear,1,21),1),"aaa")</f>
        <v>Thu</v>
      </c>
      <c r="X5" s="2" t="str">
        <f>TEXT(WEEKDAY(DATE(CalendarYear,1,22),1),"aaa")</f>
        <v>Fri</v>
      </c>
      <c r="Y5" s="2" t="str">
        <f>TEXT(WEEKDAY(DATE(CalendarYear,1,23),1),"aaa")</f>
        <v>Sat</v>
      </c>
      <c r="Z5" s="2" t="str">
        <f>TEXT(WEEKDAY(DATE(CalendarYear,1,24),1),"aaa")</f>
        <v>Sun</v>
      </c>
      <c r="AA5" s="2" t="str">
        <f>TEXT(WEEKDAY(DATE(CalendarYear,1,25),1),"aaa")</f>
        <v>Mon</v>
      </c>
      <c r="AB5" s="2" t="str">
        <f>TEXT(WEEKDAY(DATE(CalendarYear,1,26),1),"aaa")</f>
        <v>Tue</v>
      </c>
      <c r="AC5" s="2" t="str">
        <f>TEXT(WEEKDAY(DATE(CalendarYear,1,27),1),"aaa")</f>
        <v>Wed</v>
      </c>
      <c r="AD5" s="2" t="str">
        <f>TEXT(WEEKDAY(DATE(CalendarYear,1,28),1),"aaa")</f>
        <v>Thu</v>
      </c>
      <c r="AE5" s="2" t="str">
        <f>TEXT(WEEKDAY(DATE(CalendarYear,1,29),1),"aaa")</f>
        <v>Fri</v>
      </c>
      <c r="AF5" s="2" t="str">
        <f>TEXT(WEEKDAY(DATE(CalendarYear,1,30),1),"aaa")</f>
        <v>Sat</v>
      </c>
      <c r="AG5" s="2" t="str">
        <f>TEXT(WEEKDAY(DATE(CalendarYear,1,31),1),"aaa")</f>
        <v>Sun</v>
      </c>
      <c r="AH5" s="12"/>
    </row>
    <row r="6" spans="1: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1:34" ht="30" customHeight="1" x14ac:dyDescent="0.25">
      <c r="B7" s="9" t="s">
        <v>35</v>
      </c>
      <c r="C7" s="3"/>
      <c r="D7" s="3"/>
      <c r="E7" s="3" t="s">
        <v>37</v>
      </c>
      <c r="F7" s="3" t="s">
        <v>37</v>
      </c>
      <c r="G7" s="3" t="s">
        <v>37</v>
      </c>
      <c r="H7" s="3" t="s">
        <v>37</v>
      </c>
      <c r="I7" s="3"/>
      <c r="J7" s="3"/>
      <c r="K7" s="3"/>
      <c r="L7" s="3"/>
      <c r="M7" s="3"/>
      <c r="N7" s="3"/>
      <c r="O7" s="3" t="s">
        <v>37</v>
      </c>
      <c r="P7" s="3"/>
      <c r="Q7" s="3"/>
      <c r="R7" s="3"/>
      <c r="S7" s="3"/>
      <c r="T7" s="3"/>
      <c r="U7" s="3"/>
      <c r="V7" s="3"/>
      <c r="W7" s="3"/>
      <c r="X7" s="3"/>
      <c r="Y7" s="3"/>
      <c r="Z7" s="3"/>
      <c r="AA7" s="3"/>
      <c r="AB7" s="3"/>
      <c r="AC7" s="3"/>
      <c r="AD7" s="3"/>
      <c r="AE7" s="3"/>
      <c r="AF7" s="3"/>
      <c r="AG7" s="3"/>
      <c r="AH7" s="10">
        <f>COUNTA(January!$C7:$AG7)</f>
        <v>5</v>
      </c>
    </row>
    <row r="8" spans="1:34" ht="30" customHeight="1" x14ac:dyDescent="0.25">
      <c r="B8" s="9" t="s">
        <v>38</v>
      </c>
      <c r="C8" s="3"/>
      <c r="D8" s="3"/>
      <c r="E8" s="3"/>
      <c r="F8" s="3"/>
      <c r="G8" s="3" t="s">
        <v>36</v>
      </c>
      <c r="H8" s="3" t="s">
        <v>36</v>
      </c>
      <c r="I8" s="3"/>
      <c r="J8" s="3"/>
      <c r="K8" s="3"/>
      <c r="L8" s="3"/>
      <c r="M8" s="3" t="s">
        <v>41</v>
      </c>
      <c r="N8" s="3"/>
      <c r="O8" s="3"/>
      <c r="P8" s="3"/>
      <c r="Q8" s="3"/>
      <c r="R8" s="3"/>
      <c r="S8" s="3"/>
      <c r="T8" s="3"/>
      <c r="U8" s="3"/>
      <c r="V8" s="3" t="s">
        <v>36</v>
      </c>
      <c r="W8" s="3"/>
      <c r="X8" s="3"/>
      <c r="Y8" s="3"/>
      <c r="Z8" s="3"/>
      <c r="AA8" s="3" t="s">
        <v>37</v>
      </c>
      <c r="AB8" s="3" t="s">
        <v>37</v>
      </c>
      <c r="AC8" s="3" t="s">
        <v>37</v>
      </c>
      <c r="AD8" s="3"/>
      <c r="AE8" s="3"/>
      <c r="AF8" s="3"/>
      <c r="AG8" s="3"/>
      <c r="AH8" s="10">
        <f>COUNTA(January!$C8:$AG8)</f>
        <v>7</v>
      </c>
    </row>
    <row r="9" spans="1:34" ht="30" customHeight="1" x14ac:dyDescent="0.25">
      <c r="B9" s="9" t="s">
        <v>49</v>
      </c>
      <c r="C9" s="3"/>
      <c r="D9" s="3"/>
      <c r="E9" s="3" t="s">
        <v>41</v>
      </c>
      <c r="F9" s="3"/>
      <c r="G9" s="3"/>
      <c r="H9" s="3"/>
      <c r="I9" s="3"/>
      <c r="J9" s="3"/>
      <c r="K9" s="3"/>
      <c r="L9" s="3"/>
      <c r="M9" s="3"/>
      <c r="N9" s="3"/>
      <c r="O9" s="3"/>
      <c r="P9" s="3" t="s">
        <v>36</v>
      </c>
      <c r="Q9" s="3"/>
      <c r="R9" s="3"/>
      <c r="S9" s="3"/>
      <c r="T9" s="3"/>
      <c r="U9" s="3"/>
      <c r="V9" s="3"/>
      <c r="W9" s="3"/>
      <c r="X9" s="3"/>
      <c r="Y9" s="3"/>
      <c r="Z9" s="3"/>
      <c r="AA9" s="3"/>
      <c r="AB9" s="3"/>
      <c r="AC9" s="3"/>
      <c r="AD9" s="3"/>
      <c r="AE9" s="3" t="s">
        <v>36</v>
      </c>
      <c r="AF9" s="3"/>
      <c r="AG9" s="3"/>
      <c r="AH9" s="10">
        <f>COUNTA(January!$C9:$AG9)</f>
        <v>3</v>
      </c>
    </row>
    <row r="10" spans="1:34" ht="30" customHeight="1" x14ac:dyDescent="0.25">
      <c r="B10" s="9" t="s">
        <v>50</v>
      </c>
      <c r="C10" s="3"/>
      <c r="D10" s="3"/>
      <c r="E10" s="3"/>
      <c r="F10" s="3"/>
      <c r="G10" s="3"/>
      <c r="H10" s="3"/>
      <c r="I10" s="3" t="s">
        <v>41</v>
      </c>
      <c r="J10" s="3"/>
      <c r="K10" s="3"/>
      <c r="L10" s="3"/>
      <c r="M10" s="3"/>
      <c r="N10" s="3"/>
      <c r="O10" s="3"/>
      <c r="P10" s="3"/>
      <c r="Q10" s="3"/>
      <c r="R10" s="3"/>
      <c r="S10" s="3"/>
      <c r="T10" s="3"/>
      <c r="U10" s="3" t="s">
        <v>37</v>
      </c>
      <c r="V10" s="3" t="s">
        <v>37</v>
      </c>
      <c r="W10" s="3" t="s">
        <v>37</v>
      </c>
      <c r="X10" s="3"/>
      <c r="Y10" s="3"/>
      <c r="Z10" s="3"/>
      <c r="AA10" s="3"/>
      <c r="AB10" s="3"/>
      <c r="AC10" s="3"/>
      <c r="AD10" s="3"/>
      <c r="AE10" s="3"/>
      <c r="AF10" s="3"/>
      <c r="AG10" s="3"/>
      <c r="AH10" s="10">
        <f>COUNTA(January!$C10:$AG10)</f>
        <v>4</v>
      </c>
    </row>
    <row r="11" spans="1:34" ht="30" customHeight="1" x14ac:dyDescent="0.25">
      <c r="B11" s="9" t="s">
        <v>51</v>
      </c>
      <c r="C11" s="3"/>
      <c r="D11" s="3"/>
      <c r="E11" s="3"/>
      <c r="F11" s="3" t="s">
        <v>36</v>
      </c>
      <c r="G11" s="3" t="s">
        <v>37</v>
      </c>
      <c r="H11" s="3" t="s">
        <v>37</v>
      </c>
      <c r="I11" s="3"/>
      <c r="J11" s="3"/>
      <c r="K11" s="3"/>
      <c r="L11" s="3"/>
      <c r="M11" s="3"/>
      <c r="N11" s="3"/>
      <c r="O11" s="3"/>
      <c r="P11" s="3"/>
      <c r="Q11" s="3"/>
      <c r="R11" s="3"/>
      <c r="S11" s="3" t="s">
        <v>36</v>
      </c>
      <c r="T11" s="3"/>
      <c r="U11" s="3"/>
      <c r="V11" s="3"/>
      <c r="W11" s="3"/>
      <c r="X11" s="3"/>
      <c r="Y11" s="3"/>
      <c r="Z11" s="3" t="s">
        <v>36</v>
      </c>
      <c r="AA11" s="3"/>
      <c r="AB11" s="3"/>
      <c r="AC11" s="3"/>
      <c r="AD11" s="3"/>
      <c r="AE11" s="3"/>
      <c r="AF11" s="3"/>
      <c r="AG11" s="3" t="s">
        <v>37</v>
      </c>
      <c r="AH11" s="10">
        <f>COUNTA(January!$C11:$AG11)</f>
        <v>6</v>
      </c>
    </row>
    <row r="12" spans="1:34" ht="30" customHeight="1" x14ac:dyDescent="0.25">
      <c r="B12" s="21" t="str">
        <f>MonthName&amp;" Total"</f>
        <v>January Total</v>
      </c>
      <c r="C12" s="13">
        <f>SUBTOTAL(103,January!$C$7:$C$11)</f>
        <v>0</v>
      </c>
      <c r="D12" s="13">
        <f>SUBTOTAL(103,January!$D$7:$D$11)</f>
        <v>0</v>
      </c>
      <c r="E12" s="13">
        <f>SUBTOTAL(103,January!$E$7:$E$11)</f>
        <v>2</v>
      </c>
      <c r="F12" s="13">
        <f>SUBTOTAL(103,January!$F$7:$F$11)</f>
        <v>2</v>
      </c>
      <c r="G12" s="13">
        <f>SUBTOTAL(103,January!$G$7:$G$11)</f>
        <v>3</v>
      </c>
      <c r="H12" s="13">
        <f>SUBTOTAL(103,January!$H$7:$H$11)</f>
        <v>3</v>
      </c>
      <c r="I12" s="13">
        <f>SUBTOTAL(103,January!$I$7:$I$11)</f>
        <v>1</v>
      </c>
      <c r="J12" s="13">
        <f>SUBTOTAL(103,January!$J$7:$J$11)</f>
        <v>0</v>
      </c>
      <c r="K12" s="13">
        <f>SUBTOTAL(103,January!$K$7:$K$11)</f>
        <v>0</v>
      </c>
      <c r="L12" s="13">
        <f>SUBTOTAL(103,January!$L$7:$L$11)</f>
        <v>0</v>
      </c>
      <c r="M12" s="13">
        <f>SUBTOTAL(103,January!$M$7:$M$11)</f>
        <v>1</v>
      </c>
      <c r="N12" s="13">
        <f>SUBTOTAL(103,January!$N$7:$N$11)</f>
        <v>0</v>
      </c>
      <c r="O12" s="13">
        <f>SUBTOTAL(103,January!$O$7:$O$11)</f>
        <v>1</v>
      </c>
      <c r="P12" s="13">
        <f>SUBTOTAL(103,January!$P$7:$P$11)</f>
        <v>1</v>
      </c>
      <c r="Q12" s="13">
        <f>SUBTOTAL(103,January!$Q$7:$Q$11)</f>
        <v>0</v>
      </c>
      <c r="R12" s="13">
        <f>SUBTOTAL(103,January!$R$7:$R$11)</f>
        <v>0</v>
      </c>
      <c r="S12" s="13">
        <f>SUBTOTAL(103,January!$S$7:$S$11)</f>
        <v>1</v>
      </c>
      <c r="T12" s="13">
        <f>SUBTOTAL(103,January!$T$7:$T$11)</f>
        <v>0</v>
      </c>
      <c r="U12" s="13">
        <f>SUBTOTAL(103,January!$U$7:$U$11)</f>
        <v>1</v>
      </c>
      <c r="V12" s="13">
        <f>SUBTOTAL(103,January!$V$7:$V$11)</f>
        <v>2</v>
      </c>
      <c r="W12" s="13">
        <f>SUBTOTAL(103,January!$W$7:$W$11)</f>
        <v>1</v>
      </c>
      <c r="X12" s="13">
        <f>SUBTOTAL(103,January!$X$7:$X$11)</f>
        <v>0</v>
      </c>
      <c r="Y12" s="13">
        <f>SUBTOTAL(103,January!$Y$7:$Y$11)</f>
        <v>0</v>
      </c>
      <c r="Z12" s="13">
        <f>SUBTOTAL(103,January!$Z$7:$Z$11)</f>
        <v>1</v>
      </c>
      <c r="AA12" s="13">
        <f>SUBTOTAL(103,January!$AA$7:$AA$11)</f>
        <v>1</v>
      </c>
      <c r="AB12" s="13">
        <f>SUBTOTAL(103,January!$AB$7:$AB$11)</f>
        <v>1</v>
      </c>
      <c r="AC12" s="13">
        <f>SUBTOTAL(103,January!$AC$7:$AC$11)</f>
        <v>1</v>
      </c>
      <c r="AD12" s="13">
        <f>SUBTOTAL(103,January!$AD$7:$AD$11)</f>
        <v>0</v>
      </c>
      <c r="AE12" s="13">
        <f>SUBTOTAL(103,January!$AE$7:$AE$11)</f>
        <v>1</v>
      </c>
      <c r="AF12" s="13">
        <f>SUBTOTAL(103,January!$AF$7:$AF$11)</f>
        <v>0</v>
      </c>
      <c r="AG12" s="13">
        <f>SUBTOTAL(103,January!$AG$7:$AG$11)</f>
        <v>1</v>
      </c>
      <c r="AH12" s="13">
        <f>SUBTOTAL(109,January[Total Days])</f>
        <v>25</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61" priority="6" stopIfTrue="1">
      <formula>C7=KeyCustom2</formula>
    </cfRule>
    <cfRule type="expression" dxfId="60" priority="7" stopIfTrue="1">
      <formula>C7=KeyCustom1</formula>
    </cfRule>
    <cfRule type="expression" dxfId="59" priority="8" stopIfTrue="1">
      <formula>C7=KeySick</formula>
    </cfRule>
    <cfRule type="expression" dxfId="58" priority="9" stopIfTrue="1">
      <formula>C7=KeyPersonal</formula>
    </cfRule>
    <cfRule type="expression" dxfId="57" priority="10" stopIfTrue="1">
      <formula>C7=KeyVacation</formula>
    </cfRule>
  </conditionalFormatting>
  <conditionalFormatting sqref="AH7:AH11">
    <cfRule type="dataBar" priority="168">
      <dataBar>
        <cfvo type="num" val="0"/>
        <cfvo type="num" val="31"/>
        <color theme="2" tint="-0.249977111117893"/>
      </dataBar>
      <extLst>
        <ext xmlns:x14="http://schemas.microsoft.com/office/spreadsheetml/2009/9/main" uri="{B025F937-C7B1-47D3-B67F-A62EFF666E3E}">
          <x14:id>{ECCE2C3C-1B01-4700-B60E-DAAAB19A9C1A}</x14:id>
        </ext>
      </extLst>
    </cfRule>
  </conditionalFormatting>
  <dataValidations count="15">
    <dataValidation allowBlank="1" showInputMessage="1" showErrorMessage="1" prompt="Enter year in this cell" sqref="AH4" xr:uid="{00000000-0002-0000-0000-000000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000-000001000000}"/>
    <dataValidation allowBlank="1" showInputMessage="1" showErrorMessage="1" prompt="Days of the month in this row are automatically generated. Enter an employee's absence and absence type in each column for each day of the month. Blank means no absence" sqref="C6" xr:uid="{00000000-0002-0000-0000-000002000000}"/>
    <dataValidation allowBlank="1" showInputMessage="1" showErrorMessage="1" prompt="Weekdays in this row are automatically updated for the month according to the year entered in AH4. Each day of the month is a column to note an employee's absence and absence type" sqref="C5" xr:uid="{00000000-0002-0000-0000-000003000000}"/>
    <dataValidation allowBlank="1" showInputMessage="1" showErrorMessage="1" prompt="Automatically calculates total number of days an employee was absent this month" sqref="AH6" xr:uid="{00000000-0002-0000-0000-000004000000}"/>
    <dataValidation allowBlank="1" showInputMessage="1" showErrorMessage="1" prompt="Title of the worksheet is in this cell. Update the title and each worksheet will automatically inherit the change" sqref="B1" xr:uid="{00000000-0002-0000-0000-000005000000}"/>
    <dataValidation allowBlank="1" showInputMessage="1" showErrorMessage="1" prompt="Month of this absence schedule. Update the year in cell AH4. Track totals by month in the last cell of the table. Enter employee names in table column B" sqref="B4" xr:uid="{00000000-0002-0000-0000-000006000000}"/>
    <dataValidation allowBlank="1" showInputMessage="1" showErrorMessage="1" prompt="This row defines the keys used in the table: cell C2 is Vacation, G2 is Personal, &amp; K2 is Sick leave. Cells N2 &amp; R2 are customizable " sqref="B2" xr:uid="{00000000-0002-0000-0000-000007000000}"/>
    <dataValidation allowBlank="1" showInputMessage="1" showErrorMessage="1" prompt="The letter &quot;V&quot; indicates absence due to vacation" sqref="C2" xr:uid="{00000000-0002-0000-0000-000008000000}"/>
    <dataValidation allowBlank="1" showInputMessage="1" showErrorMessage="1" prompt="The letter &quot;P&quot; indicates absence due to personal reasons" sqref="G2" xr:uid="{00000000-0002-0000-0000-000009000000}"/>
    <dataValidation allowBlank="1" showInputMessage="1" showErrorMessage="1" prompt="The letter &quot;S&quot; indicates absence due to illness" sqref="K2" xr:uid="{00000000-0002-0000-0000-00000A000000}"/>
    <dataValidation allowBlank="1" showInputMessage="1" showErrorMessage="1" prompt="Enter a letter and customize the label at right to add another key item" sqref="N2 R2" xr:uid="{00000000-0002-0000-0000-00000B000000}"/>
    <dataValidation allowBlank="1" showInputMessage="1" showErrorMessage="1" prompt="Enter a label to describe the custom key at left" sqref="O2:Q2 S2:U2" xr:uid="{00000000-0002-0000-0000-00000C000000}"/>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3" xr:uid="{00000000-0002-0000-0000-00000E000000}"/>
  </dataValidations>
  <printOptions horizontalCentered="1"/>
  <pageMargins left="0.25" right="0.25" top="0.75" bottom="0.75" header="0.3" footer="0.3"/>
  <pageSetup scale="70"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num">
                <xm:f>0</xm:f>
              </x14:cfvo>
              <x14:cfvo type="num">
                <xm:f>31</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B7:B11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59</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TEXT(WEEKDAY(DATE(CalendarYear,10,1),1),"aaa")</f>
        <v>Sat</v>
      </c>
      <c r="D5" s="2" t="str">
        <f>TEXT(WEEKDAY(DATE(CalendarYear,10,2),1),"aaa")</f>
        <v>Sun</v>
      </c>
      <c r="E5" s="2" t="str">
        <f>TEXT(WEEKDAY(DATE(CalendarYear,10,3),1),"aaa")</f>
        <v>Mon</v>
      </c>
      <c r="F5" s="2" t="str">
        <f>TEXT(WEEKDAY(DATE(CalendarYear,10,4),1),"aaa")</f>
        <v>Tue</v>
      </c>
      <c r="G5" s="2" t="str">
        <f>TEXT(WEEKDAY(DATE(CalendarYear,10,5),1),"aaa")</f>
        <v>Wed</v>
      </c>
      <c r="H5" s="2" t="str">
        <f>TEXT(WEEKDAY(DATE(CalendarYear,10,6),1),"aaa")</f>
        <v>Thu</v>
      </c>
      <c r="I5" s="2" t="str">
        <f>TEXT(WEEKDAY(DATE(CalendarYear,10,7),1),"aaa")</f>
        <v>Fri</v>
      </c>
      <c r="J5" s="2" t="str">
        <f>TEXT(WEEKDAY(DATE(CalendarYear,10,8),1),"aaa")</f>
        <v>Sat</v>
      </c>
      <c r="K5" s="2" t="str">
        <f>TEXT(WEEKDAY(DATE(CalendarYear,10,9),1),"aaa")</f>
        <v>Sun</v>
      </c>
      <c r="L5" s="2" t="str">
        <f>TEXT(WEEKDAY(DATE(CalendarYear,10,10),1),"aaa")</f>
        <v>Mon</v>
      </c>
      <c r="M5" s="2" t="str">
        <f>TEXT(WEEKDAY(DATE(CalendarYear,10,11),1),"aaa")</f>
        <v>Tue</v>
      </c>
      <c r="N5" s="2" t="str">
        <f>TEXT(WEEKDAY(DATE(CalendarYear,10,12),1),"aaa")</f>
        <v>Wed</v>
      </c>
      <c r="O5" s="2" t="str">
        <f>TEXT(WEEKDAY(DATE(CalendarYear,10,13),1),"aaa")</f>
        <v>Thu</v>
      </c>
      <c r="P5" s="2" t="str">
        <f>TEXT(WEEKDAY(DATE(CalendarYear,10,14),1),"aaa")</f>
        <v>Fri</v>
      </c>
      <c r="Q5" s="2" t="str">
        <f>TEXT(WEEKDAY(DATE(CalendarYear,10,15),1),"aaa")</f>
        <v>Sat</v>
      </c>
      <c r="R5" s="2" t="str">
        <f>TEXT(WEEKDAY(DATE(CalendarYear,10,16),1),"aaa")</f>
        <v>Sun</v>
      </c>
      <c r="S5" s="2" t="str">
        <f>TEXT(WEEKDAY(DATE(CalendarYear,10,17),1),"aaa")</f>
        <v>Mon</v>
      </c>
      <c r="T5" s="2" t="str">
        <f>TEXT(WEEKDAY(DATE(CalendarYear,10,18),1),"aaa")</f>
        <v>Tue</v>
      </c>
      <c r="U5" s="2" t="str">
        <f>TEXT(WEEKDAY(DATE(CalendarYear,10,19),1),"aaa")</f>
        <v>Wed</v>
      </c>
      <c r="V5" s="2" t="str">
        <f>TEXT(WEEKDAY(DATE(CalendarYear,10,20),1),"aaa")</f>
        <v>Thu</v>
      </c>
      <c r="W5" s="2" t="str">
        <f>TEXT(WEEKDAY(DATE(CalendarYear,10,21),1),"aaa")</f>
        <v>Fri</v>
      </c>
      <c r="X5" s="2" t="str">
        <f>TEXT(WEEKDAY(DATE(CalendarYear,10,22),1),"aaa")</f>
        <v>Sat</v>
      </c>
      <c r="Y5" s="2" t="str">
        <f>TEXT(WEEKDAY(DATE(CalendarYear,10,23),1),"aaa")</f>
        <v>Sun</v>
      </c>
      <c r="Z5" s="2" t="str">
        <f>TEXT(WEEKDAY(DATE(CalendarYear,10,24),1),"aaa")</f>
        <v>Mon</v>
      </c>
      <c r="AA5" s="2" t="str">
        <f>TEXT(WEEKDAY(DATE(CalendarYear,10,25),1),"aaa")</f>
        <v>Tue</v>
      </c>
      <c r="AB5" s="2" t="str">
        <f>TEXT(WEEKDAY(DATE(CalendarYear,10,26),1),"aaa")</f>
        <v>Wed</v>
      </c>
      <c r="AC5" s="2" t="str">
        <f>TEXT(WEEKDAY(DATE(CalendarYear,10,27),1),"aaa")</f>
        <v>Thu</v>
      </c>
      <c r="AD5" s="2" t="str">
        <f>TEXT(WEEKDAY(DATE(CalendarYear,10,28),1),"aaa")</f>
        <v>Fri</v>
      </c>
      <c r="AE5" s="2" t="str">
        <f>TEXT(WEEKDAY(DATE(CalendarYear,10,29),1),"aaa")</f>
        <v>Sat</v>
      </c>
      <c r="AF5" s="2" t="str">
        <f>TEXT(WEEKDAY(DATE(CalendarYear,10,30),1),"aaa")</f>
        <v>Sun</v>
      </c>
      <c r="AG5" s="2" t="str">
        <f>TEXT(WEEKDAY(DATE(CalendarYear,10,31),1),"aaa")</f>
        <v>Mon</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COUNTA(October[[#This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COUNTA(October[[#This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COUNTA(October[[#This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COUNTA(October[[#This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COUNTA(October[[#This Row],[1]:[31]])</f>
        <v>0</v>
      </c>
    </row>
    <row r="12" spans="2:34" ht="30" customHeight="1" x14ac:dyDescent="0.25">
      <c r="B12" s="21" t="str">
        <f>MonthName&amp;" Total"</f>
        <v>October Total</v>
      </c>
      <c r="C12" s="13">
        <f>SUBTOTAL(103,October[1])</f>
        <v>0</v>
      </c>
      <c r="D12" s="13">
        <f>SUBTOTAL(103,October[2])</f>
        <v>0</v>
      </c>
      <c r="E12" s="13">
        <f>SUBTOTAL(103,October[3])</f>
        <v>0</v>
      </c>
      <c r="F12" s="13">
        <f>SUBTOTAL(103,October[4])</f>
        <v>0</v>
      </c>
      <c r="G12" s="13">
        <f>SUBTOTAL(103,October[5])</f>
        <v>0</v>
      </c>
      <c r="H12" s="13">
        <f>SUBTOTAL(103,October[6])</f>
        <v>0</v>
      </c>
      <c r="I12" s="13">
        <f>SUBTOTAL(103,October[7])</f>
        <v>0</v>
      </c>
      <c r="J12" s="13">
        <f>SUBTOTAL(103,October[8])</f>
        <v>0</v>
      </c>
      <c r="K12" s="13">
        <f>SUBTOTAL(103,October[9])</f>
        <v>0</v>
      </c>
      <c r="L12" s="13">
        <f>SUBTOTAL(103,October[10])</f>
        <v>0</v>
      </c>
      <c r="M12" s="13">
        <f>SUBTOTAL(103,October[11])</f>
        <v>0</v>
      </c>
      <c r="N12" s="13">
        <f>SUBTOTAL(103,October[12])</f>
        <v>0</v>
      </c>
      <c r="O12" s="13">
        <f>SUBTOTAL(103,October[13])</f>
        <v>0</v>
      </c>
      <c r="P12" s="13">
        <f>SUBTOTAL(103,October[14])</f>
        <v>0</v>
      </c>
      <c r="Q12" s="13">
        <f>SUBTOTAL(103,October[15])</f>
        <v>0</v>
      </c>
      <c r="R12" s="13">
        <f>SUBTOTAL(103,October[16])</f>
        <v>0</v>
      </c>
      <c r="S12" s="13">
        <f>SUBTOTAL(103,October[17])</f>
        <v>0</v>
      </c>
      <c r="T12" s="13">
        <f>SUBTOTAL(103,October[18])</f>
        <v>0</v>
      </c>
      <c r="U12" s="13">
        <f>SUBTOTAL(103,October[19])</f>
        <v>0</v>
      </c>
      <c r="V12" s="13">
        <f>SUBTOTAL(103,October[20])</f>
        <v>0</v>
      </c>
      <c r="W12" s="13">
        <f>SUBTOTAL(103,October[21])</f>
        <v>0</v>
      </c>
      <c r="X12" s="13">
        <f>SUBTOTAL(103,October[22])</f>
        <v>0</v>
      </c>
      <c r="Y12" s="13">
        <f>SUBTOTAL(103,October[23])</f>
        <v>0</v>
      </c>
      <c r="Z12" s="13">
        <f>SUBTOTAL(103,October[24])</f>
        <v>0</v>
      </c>
      <c r="AA12" s="13">
        <f>SUBTOTAL(103,October[25])</f>
        <v>0</v>
      </c>
      <c r="AB12" s="13">
        <f>SUBTOTAL(103,October[26])</f>
        <v>0</v>
      </c>
      <c r="AC12" s="13">
        <f>SUBTOTAL(103,October[27])</f>
        <v>0</v>
      </c>
      <c r="AD12" s="13">
        <f>SUBTOTAL(103,October[28])</f>
        <v>0</v>
      </c>
      <c r="AE12" s="13">
        <f>SUBTOTAL(103,October[29])</f>
        <v>0</v>
      </c>
      <c r="AF12" s="13">
        <f>SUBTOTAL(109,October[30])</f>
        <v>0</v>
      </c>
      <c r="AG12" s="13">
        <f>SUBTOTAL(109,October[31])</f>
        <v>0</v>
      </c>
      <c r="AH12" s="13">
        <f>SUBTOTAL(109,October[Total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14" priority="2" stopIfTrue="1">
      <formula>C7=KeyCustom2</formula>
    </cfRule>
    <cfRule type="expression" dxfId="13" priority="3" stopIfTrue="1">
      <formula>C7=KeyCustom1</formula>
    </cfRule>
    <cfRule type="expression" dxfId="12" priority="4" stopIfTrue="1">
      <formula>C7=KeySick</formula>
    </cfRule>
    <cfRule type="expression" dxfId="11" priority="5" stopIfTrue="1">
      <formula>C7=KeyPersonal</formula>
    </cfRule>
    <cfRule type="expression" dxfId="1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900-000000000000}"/>
    <dataValidation allowBlank="1" showInputMessage="1" showErrorMessage="1" prompt="Automatically updated year based on year entered in January worksheet" sqref="AH4" xr:uid="{00000000-0002-0000-0900-000001000000}"/>
    <dataValidation allowBlank="1" showInputMessage="1" showErrorMessage="1" prompt="Automatically calculates total number of days an employee was absent this month in this column" sqref="AH6" xr:uid="{00000000-0002-0000-0900-000002000000}"/>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900-000004000000}"/>
    <dataValidation allowBlank="1" showInputMessage="1" showErrorMessage="1" prompt="Automatically updated title is in this cell. To modify the title, update B1 on January worksheet" sqref="B1" xr:uid="{00000000-0002-0000-0900-000005000000}"/>
    <dataValidation allowBlank="1" showInputMessage="1" showErrorMessage="1" prompt="The letter &quot;V&quot; indicates absence due to vacation" sqref="C2" xr:uid="{00000000-0002-0000-0900-000006000000}"/>
    <dataValidation allowBlank="1" showInputMessage="1" showErrorMessage="1" prompt="The letter &quot;P&quot; indicates absence due to personal reasons" sqref="G2" xr:uid="{00000000-0002-0000-0900-000007000000}"/>
    <dataValidation allowBlank="1" showInputMessage="1" showErrorMessage="1" prompt="The letter &quot;S&quot; indicates absence due to illness" sqref="K2" xr:uid="{00000000-0002-0000-0900-000008000000}"/>
    <dataValidation allowBlank="1" showInputMessage="1" showErrorMessage="1" prompt="Enter a letter and customize the label at right to add another key item" sqref="N2 R2" xr:uid="{00000000-0002-0000-0900-000009000000}"/>
    <dataValidation allowBlank="1" showInputMessage="1" showErrorMessage="1" prompt="Enter a label to describe the custom key at left" sqref="O2:Q2 S2:U2" xr:uid="{00000000-0002-0000-0900-00000A000000}"/>
    <dataValidation allowBlank="1" showInputMessage="1" showErrorMessage="1" prompt="This row defines the keys used in the table: cell C2 is Vacation, G2 is Personal, &amp; K2 is Sick leave. Cells N2 &amp; R2 are customizable " sqref="B2" xr:uid="{00000000-0002-0000-0900-00000B000000}"/>
    <dataValidation allowBlank="1" showInputMessage="1" showErrorMessage="1" prompt="Month name for this absence schedule is in this cell. Absence totals for this month are in last cell of the table. Select employee names in table column B" sqref="B4"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9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B7:B11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pageSetUpPr fitToPage="1"/>
  </sheetPr>
  <dimension ref="A1:AH12"/>
  <sheetViews>
    <sheetView showGridLines="0" tabSelected="1" zoomScaleNormal="100" workbookViewId="0">
      <selection activeCell="M1" sqref="M1"/>
    </sheetView>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60</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TEXT(WEEKDAY(DATE(CalendarYear,11,1),1),"aaa")</f>
        <v>Tue</v>
      </c>
      <c r="D5" s="2" t="str">
        <f>TEXT(WEEKDAY(DATE(CalendarYear,11,2),1),"aaa")</f>
        <v>Wed</v>
      </c>
      <c r="E5" s="2" t="str">
        <f>TEXT(WEEKDAY(DATE(CalendarYear,11,3),1),"aaa")</f>
        <v>Thu</v>
      </c>
      <c r="F5" s="2" t="str">
        <f>TEXT(WEEKDAY(DATE(CalendarYear,11,4),1),"aaa")</f>
        <v>Fri</v>
      </c>
      <c r="G5" s="2" t="str">
        <f>TEXT(WEEKDAY(DATE(CalendarYear,11,5),1),"aaa")</f>
        <v>Sat</v>
      </c>
      <c r="H5" s="2" t="str">
        <f>TEXT(WEEKDAY(DATE(CalendarYear,11,6),1),"aaa")</f>
        <v>Sun</v>
      </c>
      <c r="I5" s="2" t="str">
        <f>TEXT(WEEKDAY(DATE(CalendarYear,11,7),1),"aaa")</f>
        <v>Mon</v>
      </c>
      <c r="J5" s="2" t="str">
        <f>TEXT(WEEKDAY(DATE(CalendarYear,11,8),1),"aaa")</f>
        <v>Tue</v>
      </c>
      <c r="K5" s="2" t="str">
        <f>TEXT(WEEKDAY(DATE(CalendarYear,11,9),1),"aaa")</f>
        <v>Wed</v>
      </c>
      <c r="L5" s="2" t="str">
        <f>TEXT(WEEKDAY(DATE(CalendarYear,11,10),1),"aaa")</f>
        <v>Thu</v>
      </c>
      <c r="M5" s="2" t="str">
        <f>TEXT(WEEKDAY(DATE(CalendarYear,11,11),1),"aaa")</f>
        <v>Fri</v>
      </c>
      <c r="N5" s="2" t="str">
        <f>TEXT(WEEKDAY(DATE(CalendarYear,11,12),1),"aaa")</f>
        <v>Sat</v>
      </c>
      <c r="O5" s="2" t="str">
        <f>TEXT(WEEKDAY(DATE(CalendarYear,11,13),1),"aaa")</f>
        <v>Sun</v>
      </c>
      <c r="P5" s="2" t="str">
        <f>TEXT(WEEKDAY(DATE(CalendarYear,11,14),1),"aaa")</f>
        <v>Mon</v>
      </c>
      <c r="Q5" s="2" t="str">
        <f>TEXT(WEEKDAY(DATE(CalendarYear,11,15),1),"aaa")</f>
        <v>Tue</v>
      </c>
      <c r="R5" s="2" t="str">
        <f>TEXT(WEEKDAY(DATE(CalendarYear,11,16),1),"aaa")</f>
        <v>Wed</v>
      </c>
      <c r="S5" s="2" t="str">
        <f>TEXT(WEEKDAY(DATE(CalendarYear,11,17),1),"aaa")</f>
        <v>Thu</v>
      </c>
      <c r="T5" s="2" t="str">
        <f>TEXT(WEEKDAY(DATE(CalendarYear,11,18),1),"aaa")</f>
        <v>Fri</v>
      </c>
      <c r="U5" s="2" t="str">
        <f>TEXT(WEEKDAY(DATE(CalendarYear,11,19),1),"aaa")</f>
        <v>Sat</v>
      </c>
      <c r="V5" s="2" t="str">
        <f>TEXT(WEEKDAY(DATE(CalendarYear,11,20),1),"aaa")</f>
        <v>Sun</v>
      </c>
      <c r="W5" s="2" t="str">
        <f>TEXT(WEEKDAY(DATE(CalendarYear,11,21),1),"aaa")</f>
        <v>Mon</v>
      </c>
      <c r="X5" s="2" t="str">
        <f>TEXT(WEEKDAY(DATE(CalendarYear,11,22),1),"aaa")</f>
        <v>Tue</v>
      </c>
      <c r="Y5" s="2" t="str">
        <f>TEXT(WEEKDAY(DATE(CalendarYear,11,23),1),"aaa")</f>
        <v>Wed</v>
      </c>
      <c r="Z5" s="2" t="str">
        <f>TEXT(WEEKDAY(DATE(CalendarYear,11,24),1),"aaa")</f>
        <v>Thu</v>
      </c>
      <c r="AA5" s="2" t="str">
        <f>TEXT(WEEKDAY(DATE(CalendarYear,11,25),1),"aaa")</f>
        <v>Fri</v>
      </c>
      <c r="AB5" s="2" t="str">
        <f>TEXT(WEEKDAY(DATE(CalendarYear,11,26),1),"aaa")</f>
        <v>Sat</v>
      </c>
      <c r="AC5" s="2" t="str">
        <f>TEXT(WEEKDAY(DATE(CalendarYear,11,27),1),"aaa")</f>
        <v>Sun</v>
      </c>
      <c r="AD5" s="2" t="str">
        <f>TEXT(WEEKDAY(DATE(CalendarYear,11,28),1),"aaa")</f>
        <v>Mon</v>
      </c>
      <c r="AE5" s="2" t="str">
        <f>TEXT(WEEKDAY(DATE(CalendarYear,11,29),1),"aaa")</f>
        <v>Tue</v>
      </c>
      <c r="AF5" s="2" t="str">
        <f>TEXT(WEEKDAY(DATE(CalendarYear,11,30),1),"aaa")</f>
        <v>Wed</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COUNTA(November[[#This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COUNTA(November[[#This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COUNTA(November[[#This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COUNTA(November[[#This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COUNTA(November[[#This Row],[1]:[31]])</f>
        <v>0</v>
      </c>
    </row>
    <row r="12" spans="2:34" ht="30" customHeight="1" x14ac:dyDescent="0.25">
      <c r="B12" s="21" t="str">
        <f>MonthName&amp;" Total"</f>
        <v>November Total</v>
      </c>
      <c r="C12" s="13">
        <f>SUBTOTAL(103,November[1])</f>
        <v>0</v>
      </c>
      <c r="D12" s="13">
        <f>SUBTOTAL(103,November[2])</f>
        <v>0</v>
      </c>
      <c r="E12" s="13">
        <f>SUBTOTAL(103,November[3])</f>
        <v>0</v>
      </c>
      <c r="F12" s="13">
        <f>SUBTOTAL(103,November[4])</f>
        <v>0</v>
      </c>
      <c r="G12" s="13">
        <f>SUBTOTAL(103,November[5])</f>
        <v>0</v>
      </c>
      <c r="H12" s="13">
        <f>SUBTOTAL(103,November[6])</f>
        <v>0</v>
      </c>
      <c r="I12" s="13">
        <f>SUBTOTAL(103,November[7])</f>
        <v>0</v>
      </c>
      <c r="J12" s="13">
        <f>SUBTOTAL(103,November[8])</f>
        <v>0</v>
      </c>
      <c r="K12" s="13">
        <f>SUBTOTAL(103,November[9])</f>
        <v>0</v>
      </c>
      <c r="L12" s="13">
        <f>SUBTOTAL(103,November[10])</f>
        <v>0</v>
      </c>
      <c r="M12" s="13">
        <f>SUBTOTAL(103,November[11])</f>
        <v>0</v>
      </c>
      <c r="N12" s="13">
        <f>SUBTOTAL(103,November[12])</f>
        <v>0</v>
      </c>
      <c r="O12" s="13">
        <f>SUBTOTAL(103,November[13])</f>
        <v>0</v>
      </c>
      <c r="P12" s="13">
        <f>SUBTOTAL(103,November[14])</f>
        <v>0</v>
      </c>
      <c r="Q12" s="13">
        <f>SUBTOTAL(103,November[15])</f>
        <v>0</v>
      </c>
      <c r="R12" s="13">
        <f>SUBTOTAL(103,November[16])</f>
        <v>0</v>
      </c>
      <c r="S12" s="13">
        <f>SUBTOTAL(103,November[17])</f>
        <v>0</v>
      </c>
      <c r="T12" s="13">
        <f>SUBTOTAL(103,November[18])</f>
        <v>0</v>
      </c>
      <c r="U12" s="13">
        <f>SUBTOTAL(103,November[19])</f>
        <v>0</v>
      </c>
      <c r="V12" s="13">
        <f>SUBTOTAL(103,November[20])</f>
        <v>0</v>
      </c>
      <c r="W12" s="13">
        <f>SUBTOTAL(103,November[21])</f>
        <v>0</v>
      </c>
      <c r="X12" s="13">
        <f>SUBTOTAL(103,November[22])</f>
        <v>0</v>
      </c>
      <c r="Y12" s="13">
        <f>SUBTOTAL(103,November[23])</f>
        <v>0</v>
      </c>
      <c r="Z12" s="13">
        <f>SUBTOTAL(103,November[24])</f>
        <v>0</v>
      </c>
      <c r="AA12" s="13">
        <f>SUBTOTAL(103,November[25])</f>
        <v>0</v>
      </c>
      <c r="AB12" s="13">
        <f>SUBTOTAL(103,November[26])</f>
        <v>0</v>
      </c>
      <c r="AC12" s="13">
        <f>SUBTOTAL(103,November[27])</f>
        <v>0</v>
      </c>
      <c r="AD12" s="13">
        <f>SUBTOTAL(103,November[28])</f>
        <v>0</v>
      </c>
      <c r="AE12" s="13">
        <f>SUBTOTAL(103,November[29])</f>
        <v>0</v>
      </c>
      <c r="AF12" s="13">
        <f>SUBTOTAL(109,November[30])</f>
        <v>0</v>
      </c>
      <c r="AG12" s="13">
        <f>SUBTOTAL(109,November[31])</f>
        <v>0</v>
      </c>
      <c r="AH12" s="13">
        <f>SUBTOTAL(109,November[Total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9" priority="2" stopIfTrue="1">
      <formula>C7=KeyCustom2</formula>
    </cfRule>
    <cfRule type="expression" dxfId="8" priority="3" stopIfTrue="1">
      <formula>C7=KeyCustom1</formula>
    </cfRule>
    <cfRule type="expression" dxfId="7" priority="4" stopIfTrue="1">
      <formula>C7=KeySick</formula>
    </cfRule>
    <cfRule type="expression" dxfId="6" priority="5" stopIfTrue="1">
      <formula>C7=KeyPersonal</formula>
    </cfRule>
    <cfRule type="expression" dxfId="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A00-000000000000}"/>
    <dataValidation allowBlank="1" showInputMessage="1" showErrorMessage="1" prompt="Month name for this absence schedule is in this cell. Absence totals for this month are in last cell of the table. Select employee names in table column B" sqref="B4" xr:uid="{00000000-0002-0000-0A00-000001000000}"/>
    <dataValidation allowBlank="1" showInputMessage="1" showErrorMessage="1" prompt="This row defines the keys used in the table: cell C2 is Vacation, G2 is Personal, &amp; K2 is Sick leave. Cells N2 &amp; R2 are customizable " sqref="B2" xr:uid="{00000000-0002-0000-0A00-000002000000}"/>
    <dataValidation allowBlank="1" showInputMessage="1" showErrorMessage="1" prompt="Enter a label to describe the custom key at left" sqref="O2:Q2 S2:U2" xr:uid="{00000000-0002-0000-0A00-000003000000}"/>
    <dataValidation allowBlank="1" showInputMessage="1" showErrorMessage="1" prompt="Enter a letter and customize the label at right to add another key item" sqref="N2 R2" xr:uid="{00000000-0002-0000-0A00-000004000000}"/>
    <dataValidation allowBlank="1" showInputMessage="1" showErrorMessage="1" prompt="The letter &quot;S&quot; indicates absence due to illness" sqref="K2" xr:uid="{00000000-0002-0000-0A00-000005000000}"/>
    <dataValidation allowBlank="1" showInputMessage="1" showErrorMessage="1" prompt="The letter &quot;P&quot; indicates absence due to personal reasons" sqref="G2" xr:uid="{00000000-0002-0000-0A00-000006000000}"/>
    <dataValidation allowBlank="1" showInputMessage="1" showErrorMessage="1" prompt="The letter &quot;V&quot; indicates absence due to vacation" sqref="C2" xr:uid="{00000000-0002-0000-0A00-000007000000}"/>
    <dataValidation allowBlank="1" showInputMessage="1" showErrorMessage="1" prompt="Automatically updated title is in this cell. To modify the title, update B1 on January worksheet" sqref="B1"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A00-000009000000}"/>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6" xr:uid="{00000000-0002-0000-0A00-00000B000000}"/>
    <dataValidation allowBlank="1" showInputMessage="1" showErrorMessage="1" prompt="Automatically updated year based on year entered in January worksheet" sqref="AH4" xr:uid="{00000000-0002-0000-0A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A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B7:B11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AH12"/>
  <sheetViews>
    <sheetView showGridLines="0" zoomScaleNormal="100" workbookViewId="0">
      <selection activeCell="N8" sqref="N8"/>
    </sheetView>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61</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TEXT(WEEKDAY(DATE(CalendarYear,12,1),1),"aaa")</f>
        <v>Thu</v>
      </c>
      <c r="D5" s="2" t="str">
        <f>TEXT(WEEKDAY(DATE(CalendarYear,12,2),1),"aaa")</f>
        <v>Fri</v>
      </c>
      <c r="E5" s="2" t="str">
        <f>TEXT(WEEKDAY(DATE(CalendarYear,12,3),1),"aaa")</f>
        <v>Sat</v>
      </c>
      <c r="F5" s="2" t="str">
        <f>TEXT(WEEKDAY(DATE(CalendarYear,12,4),1),"aaa")</f>
        <v>Sun</v>
      </c>
      <c r="G5" s="2" t="str">
        <f>TEXT(WEEKDAY(DATE(CalendarYear,12,5),1),"aaa")</f>
        <v>Mon</v>
      </c>
      <c r="H5" s="2" t="str">
        <f>TEXT(WEEKDAY(DATE(CalendarYear,12,6),1),"aaa")</f>
        <v>Tue</v>
      </c>
      <c r="I5" s="2" t="str">
        <f>TEXT(WEEKDAY(DATE(CalendarYear,12,7),1),"aaa")</f>
        <v>Wed</v>
      </c>
      <c r="J5" s="2" t="str">
        <f>TEXT(WEEKDAY(DATE(CalendarYear,12,8),1),"aaa")</f>
        <v>Thu</v>
      </c>
      <c r="K5" s="2" t="str">
        <f>TEXT(WEEKDAY(DATE(CalendarYear,12,9),1),"aaa")</f>
        <v>Fri</v>
      </c>
      <c r="L5" s="2" t="str">
        <f>TEXT(WEEKDAY(DATE(CalendarYear,12,10),1),"aaa")</f>
        <v>Sat</v>
      </c>
      <c r="M5" s="2" t="str">
        <f>TEXT(WEEKDAY(DATE(CalendarYear,12,11),1),"aaa")</f>
        <v>Sun</v>
      </c>
      <c r="N5" s="2" t="str">
        <f>TEXT(WEEKDAY(DATE(CalendarYear,12,12),1),"aaa")</f>
        <v>Mon</v>
      </c>
      <c r="O5" s="2" t="str">
        <f>TEXT(WEEKDAY(DATE(CalendarYear,12,13),1),"aaa")</f>
        <v>Tue</v>
      </c>
      <c r="P5" s="2" t="str">
        <f>TEXT(WEEKDAY(DATE(CalendarYear,12,14),1),"aaa")</f>
        <v>Wed</v>
      </c>
      <c r="Q5" s="2" t="str">
        <f>TEXT(WEEKDAY(DATE(CalendarYear,12,15),1),"aaa")</f>
        <v>Thu</v>
      </c>
      <c r="R5" s="2" t="str">
        <f>TEXT(WEEKDAY(DATE(CalendarYear,12,16),1),"aaa")</f>
        <v>Fri</v>
      </c>
      <c r="S5" s="2" t="str">
        <f>TEXT(WEEKDAY(DATE(CalendarYear,12,17),1),"aaa")</f>
        <v>Sat</v>
      </c>
      <c r="T5" s="2" t="str">
        <f>TEXT(WEEKDAY(DATE(CalendarYear,12,18),1),"aaa")</f>
        <v>Sun</v>
      </c>
      <c r="U5" s="2" t="str">
        <f>TEXT(WEEKDAY(DATE(CalendarYear,12,19),1),"aaa")</f>
        <v>Mon</v>
      </c>
      <c r="V5" s="2" t="str">
        <f>TEXT(WEEKDAY(DATE(CalendarYear,12,20),1),"aaa")</f>
        <v>Tue</v>
      </c>
      <c r="W5" s="2" t="str">
        <f>TEXT(WEEKDAY(DATE(CalendarYear,12,21),1),"aaa")</f>
        <v>Wed</v>
      </c>
      <c r="X5" s="2" t="str">
        <f>TEXT(WEEKDAY(DATE(CalendarYear,12,22),1),"aaa")</f>
        <v>Thu</v>
      </c>
      <c r="Y5" s="2" t="str">
        <f>TEXT(WEEKDAY(DATE(CalendarYear,12,23),1),"aaa")</f>
        <v>Fri</v>
      </c>
      <c r="Z5" s="2" t="str">
        <f>TEXT(WEEKDAY(DATE(CalendarYear,12,24),1),"aaa")</f>
        <v>Sat</v>
      </c>
      <c r="AA5" s="2" t="str">
        <f>TEXT(WEEKDAY(DATE(CalendarYear,12,25),1),"aaa")</f>
        <v>Sun</v>
      </c>
      <c r="AB5" s="2" t="str">
        <f>TEXT(WEEKDAY(DATE(CalendarYear,12,26),1),"aaa")</f>
        <v>Mon</v>
      </c>
      <c r="AC5" s="2" t="str">
        <f>TEXT(WEEKDAY(DATE(CalendarYear,12,27),1),"aaa")</f>
        <v>Tue</v>
      </c>
      <c r="AD5" s="2" t="str">
        <f>TEXT(WEEKDAY(DATE(CalendarYear,12,28),1),"aaa")</f>
        <v>Wed</v>
      </c>
      <c r="AE5" s="2" t="str">
        <f>TEXT(WEEKDAY(DATE(CalendarYear,12,29),1),"aaa")</f>
        <v>Thu</v>
      </c>
      <c r="AF5" s="2" t="str">
        <f>TEXT(WEEKDAY(DATE(CalendarYear,12,30),1),"aaa")</f>
        <v>Fri</v>
      </c>
      <c r="AG5" s="2" t="str">
        <f>TEXT(WEEKDAY(DATE(CalendarYear,12,31),1),"aaa")</f>
        <v>Sat</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COUNTA(December[[#This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COUNTA(December[[#This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COUNTA(December[[#This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COUNTA(December[[#This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COUNTA(December[[#This Row],[1]:[31]])</f>
        <v>0</v>
      </c>
    </row>
    <row r="12" spans="2:34" ht="30" customHeight="1" x14ac:dyDescent="0.25">
      <c r="B12" s="21" t="str">
        <f>MonthName&amp;" Total"</f>
        <v>December Total</v>
      </c>
      <c r="C12" s="13">
        <f>SUBTOTAL(103,December[1])</f>
        <v>0</v>
      </c>
      <c r="D12" s="13">
        <f>SUBTOTAL(103,December[2])</f>
        <v>0</v>
      </c>
      <c r="E12" s="13">
        <f>SUBTOTAL(103,December[3])</f>
        <v>0</v>
      </c>
      <c r="F12" s="13">
        <f>SUBTOTAL(103,December[4])</f>
        <v>0</v>
      </c>
      <c r="G12" s="13">
        <f>SUBTOTAL(103,December[5])</f>
        <v>0</v>
      </c>
      <c r="H12" s="13">
        <f>SUBTOTAL(103,December[6])</f>
        <v>0</v>
      </c>
      <c r="I12" s="13">
        <f>SUBTOTAL(103,December[7])</f>
        <v>0</v>
      </c>
      <c r="J12" s="13">
        <f>SUBTOTAL(103,December[8])</f>
        <v>0</v>
      </c>
      <c r="K12" s="13">
        <f>SUBTOTAL(103,December[9])</f>
        <v>0</v>
      </c>
      <c r="L12" s="13">
        <f>SUBTOTAL(103,December[10])</f>
        <v>0</v>
      </c>
      <c r="M12" s="13">
        <f>SUBTOTAL(103,December[11])</f>
        <v>0</v>
      </c>
      <c r="N12" s="13">
        <f>SUBTOTAL(103,December[12])</f>
        <v>0</v>
      </c>
      <c r="O12" s="13">
        <f>SUBTOTAL(103,December[13])</f>
        <v>0</v>
      </c>
      <c r="P12" s="13">
        <f>SUBTOTAL(103,December[14])</f>
        <v>0</v>
      </c>
      <c r="Q12" s="13">
        <f>SUBTOTAL(103,December[15])</f>
        <v>0</v>
      </c>
      <c r="R12" s="13">
        <f>SUBTOTAL(103,December[16])</f>
        <v>0</v>
      </c>
      <c r="S12" s="13">
        <f>SUBTOTAL(103,December[17])</f>
        <v>0</v>
      </c>
      <c r="T12" s="13">
        <f>SUBTOTAL(103,December[18])</f>
        <v>0</v>
      </c>
      <c r="U12" s="13">
        <f>SUBTOTAL(103,December[19])</f>
        <v>0</v>
      </c>
      <c r="V12" s="13">
        <f>SUBTOTAL(103,December[20])</f>
        <v>0</v>
      </c>
      <c r="W12" s="13">
        <f>SUBTOTAL(103,December[21])</f>
        <v>0</v>
      </c>
      <c r="X12" s="13">
        <f>SUBTOTAL(103,December[22])</f>
        <v>0</v>
      </c>
      <c r="Y12" s="13">
        <f>SUBTOTAL(103,December[23])</f>
        <v>0</v>
      </c>
      <c r="Z12" s="13">
        <f>SUBTOTAL(103,December[24])</f>
        <v>0</v>
      </c>
      <c r="AA12" s="13">
        <f>SUBTOTAL(103,December[25])</f>
        <v>0</v>
      </c>
      <c r="AB12" s="13">
        <f>SUBTOTAL(103,December[26])</f>
        <v>0</v>
      </c>
      <c r="AC12" s="13">
        <f>SUBTOTAL(103,December[27])</f>
        <v>0</v>
      </c>
      <c r="AD12" s="13">
        <f>SUBTOTAL(103,December[28])</f>
        <v>0</v>
      </c>
      <c r="AE12" s="13">
        <f>SUBTOTAL(103,December[29])</f>
        <v>0</v>
      </c>
      <c r="AF12" s="13">
        <f>SUBTOTAL(109,December[30])</f>
        <v>0</v>
      </c>
      <c r="AG12" s="13">
        <f>SUBTOTAL(109,December[31])</f>
        <v>0</v>
      </c>
      <c r="AH12" s="13">
        <f>SUBTOTAL(109,December[Total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4" priority="2" stopIfTrue="1">
      <formula>C7=KeyCustom2</formula>
    </cfRule>
    <cfRule type="expression" dxfId="3" priority="3" stopIfTrue="1">
      <formula>C7=KeyCustom1</formula>
    </cfRule>
    <cfRule type="expression" dxfId="2" priority="4" stopIfTrue="1">
      <formula>C7=KeySick</formula>
    </cfRule>
    <cfRule type="expression" dxfId="1" priority="5" stopIfTrue="1">
      <formula>C7=KeyPersonal</formula>
    </cfRule>
    <cfRule type="expression" dxfId="0" priority="6" stopIfTrue="1">
      <formula>C7=KeyVacation</formula>
    </cfRule>
  </conditionalFormatting>
  <conditionalFormatting sqref="AH7:AH11">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Automatically updated year based on year entered in January worksheet" sqref="AH4" xr:uid="{00000000-0002-0000-0B00-000000000000}"/>
    <dataValidation allowBlank="1" showInputMessage="1" showErrorMessage="1" prompt="Automatically calculates total number of days an employee was absent this month in this column" sqref="AH6" xr:uid="{00000000-0002-0000-0B00-000001000000}"/>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B00-000003000000}"/>
    <dataValidation allowBlank="1" showInputMessage="1" showErrorMessage="1" prompt="Automatically updated title is in this cell. To modify the title, update B1 on January worksheet" sqref="B1" xr:uid="{00000000-0002-0000-0B00-000004000000}"/>
    <dataValidation allowBlank="1" showInputMessage="1" showErrorMessage="1" prompt="The letter &quot;V&quot; indicates absence due to vacation" sqref="C2" xr:uid="{00000000-0002-0000-0B00-000005000000}"/>
    <dataValidation allowBlank="1" showInputMessage="1" showErrorMessage="1" prompt="The letter &quot;P&quot; indicates absence due to personal reasons" sqref="G2" xr:uid="{00000000-0002-0000-0B00-000006000000}"/>
    <dataValidation allowBlank="1" showInputMessage="1" showErrorMessage="1" prompt="The letter &quot;S&quot; indicates absence due to illness" sqref="K2" xr:uid="{00000000-0002-0000-0B00-000007000000}"/>
    <dataValidation allowBlank="1" showInputMessage="1" showErrorMessage="1" prompt="Enter a letter and customize the label at right to add another key item" sqref="N2 R2" xr:uid="{00000000-0002-0000-0B00-000008000000}"/>
    <dataValidation allowBlank="1" showInputMessage="1" showErrorMessage="1" prompt="Enter a label to describe the custom key at left" sqref="O2:Q2 S2:U2" xr:uid="{00000000-0002-0000-0B00-000009000000}"/>
    <dataValidation allowBlank="1" showInputMessage="1" showErrorMessage="1" prompt="This row defines the keys used in the table: cell C2 is Vacation, G2 is Personal, &amp; K2 is Sick leave. Cells N2 &amp; R2 are customizable " sqref="B2" xr:uid="{00000000-0002-0000-0B00-00000A000000}"/>
    <dataValidation allowBlank="1" showInputMessage="1" showErrorMessage="1" prompt="Month name for this absence schedule is in this cell. Absence totals for this month are in last cell of the table. Select employee names in table column B" sqref="B4" xr:uid="{00000000-0002-0000-0B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B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B00-00000D000000}"/>
  </dataValidations>
  <printOptions horizontalCentered="1"/>
  <pageMargins left="0.25" right="0.25" top="0.75" bottom="0.75" header="0.3" footer="0.3"/>
  <pageSetup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B7:B11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workbookViewId="0"/>
  </sheetViews>
  <sheetFormatPr defaultRowHeight="30" customHeight="1" x14ac:dyDescent="0.25"/>
  <cols>
    <col min="1" max="1" width="2.7109375" customWidth="1"/>
    <col min="2" max="2" width="30.7109375" customWidth="1"/>
    <col min="3" max="3" width="2.7109375" customWidth="1"/>
  </cols>
  <sheetData>
    <row r="1" spans="2:2" ht="50.1" customHeight="1" x14ac:dyDescent="0.25">
      <c r="B1" s="22" t="s">
        <v>64</v>
      </c>
    </row>
    <row r="2" spans="2:2" ht="15" customHeight="1" x14ac:dyDescent="0.25"/>
    <row r="3" spans="2:2" ht="30" customHeight="1" x14ac:dyDescent="0.25">
      <c r="B3" t="s">
        <v>64</v>
      </c>
    </row>
    <row r="4" spans="2:2" ht="30" customHeight="1" x14ac:dyDescent="0.25">
      <c r="B4" s="1" t="s">
        <v>35</v>
      </c>
    </row>
    <row r="5" spans="2:2" ht="30" customHeight="1" x14ac:dyDescent="0.25">
      <c r="B5" s="1" t="s">
        <v>38</v>
      </c>
    </row>
    <row r="6" spans="2:2" ht="30" customHeight="1" x14ac:dyDescent="0.25">
      <c r="B6" s="1" t="s">
        <v>49</v>
      </c>
    </row>
    <row r="7" spans="2:2" ht="30" customHeight="1" x14ac:dyDescent="0.25">
      <c r="B7" s="1" t="s">
        <v>50</v>
      </c>
    </row>
    <row r="8" spans="2:2" ht="30" customHeight="1" x14ac:dyDescent="0.25">
      <c r="B8" s="1" t="s">
        <v>51</v>
      </c>
    </row>
  </sheetData>
  <dataValidations count="3">
    <dataValidation allowBlank="1" showInputMessage="1" showErrorMessage="1" prompt="Employee names title" sqref="B1" xr:uid="{00000000-0002-0000-0C00-000000000000}"/>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AH12"/>
  <sheetViews>
    <sheetView showGridLines="0" zoomScaleNormal="100" workbookViewId="0"/>
  </sheetViews>
  <sheetFormatPr defaultColWidth="9.140625"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row>
    <row r="4" spans="2:34" ht="30" customHeight="1" x14ac:dyDescent="0.25">
      <c r="B4" s="12" t="s">
        <v>48</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TEXT(WEEKDAY(DATE(CalendarYear,2,1),1),"aaa")</f>
        <v>Mon</v>
      </c>
      <c r="D5" s="2" t="str">
        <f>TEXT(WEEKDAY(DATE(CalendarYear,2,2),1),"aaa")</f>
        <v>Tue</v>
      </c>
      <c r="E5" s="2" t="str">
        <f>TEXT(WEEKDAY(DATE(CalendarYear,2,3),1),"aaa")</f>
        <v>Wed</v>
      </c>
      <c r="F5" s="2" t="str">
        <f>TEXT(WEEKDAY(DATE(CalendarYear,2,4),1),"aaa")</f>
        <v>Thu</v>
      </c>
      <c r="G5" s="2" t="str">
        <f>TEXT(WEEKDAY(DATE(CalendarYear,2,5),1),"aaa")</f>
        <v>Fri</v>
      </c>
      <c r="H5" s="2" t="str">
        <f>TEXT(WEEKDAY(DATE(CalendarYear,2,6),1),"aaa")</f>
        <v>Sat</v>
      </c>
      <c r="I5" s="2" t="str">
        <f>TEXT(WEEKDAY(DATE(CalendarYear,2,7),1),"aaa")</f>
        <v>Sun</v>
      </c>
      <c r="J5" s="2" t="str">
        <f>TEXT(WEEKDAY(DATE(CalendarYear,2,8),1),"aaa")</f>
        <v>Mon</v>
      </c>
      <c r="K5" s="2" t="str">
        <f>TEXT(WEEKDAY(DATE(CalendarYear,2,9),1),"aaa")</f>
        <v>Tue</v>
      </c>
      <c r="L5" s="2" t="str">
        <f>TEXT(WEEKDAY(DATE(CalendarYear,2,10),1),"aaa")</f>
        <v>Wed</v>
      </c>
      <c r="M5" s="2" t="str">
        <f>TEXT(WEEKDAY(DATE(CalendarYear,2,11),1),"aaa")</f>
        <v>Thu</v>
      </c>
      <c r="N5" s="2" t="str">
        <f>TEXT(WEEKDAY(DATE(CalendarYear,2,12),1),"aaa")</f>
        <v>Fri</v>
      </c>
      <c r="O5" s="2" t="str">
        <f>TEXT(WEEKDAY(DATE(CalendarYear,2,13),1),"aaa")</f>
        <v>Sat</v>
      </c>
      <c r="P5" s="2" t="str">
        <f>TEXT(WEEKDAY(DATE(CalendarYear,2,14),1),"aaa")</f>
        <v>Sun</v>
      </c>
      <c r="Q5" s="2" t="str">
        <f>TEXT(WEEKDAY(DATE(CalendarYear,2,15),1),"aaa")</f>
        <v>Mon</v>
      </c>
      <c r="R5" s="2" t="str">
        <f>TEXT(WEEKDAY(DATE(CalendarYear,2,16),1),"aaa")</f>
        <v>Tue</v>
      </c>
      <c r="S5" s="2" t="str">
        <f>TEXT(WEEKDAY(DATE(CalendarYear,2,17),1),"aaa")</f>
        <v>Wed</v>
      </c>
      <c r="T5" s="2" t="str">
        <f>TEXT(WEEKDAY(DATE(CalendarYear,2,18),1),"aaa")</f>
        <v>Thu</v>
      </c>
      <c r="U5" s="2" t="str">
        <f>TEXT(WEEKDAY(DATE(CalendarYear,2,19),1),"aaa")</f>
        <v>Fri</v>
      </c>
      <c r="V5" s="2" t="str">
        <f>TEXT(WEEKDAY(DATE(CalendarYear,2,20),1),"aaa")</f>
        <v>Sat</v>
      </c>
      <c r="W5" s="2" t="str">
        <f>TEXT(WEEKDAY(DATE(CalendarYear,2,21),1),"aaa")</f>
        <v>Sun</v>
      </c>
      <c r="X5" s="2" t="str">
        <f>TEXT(WEEKDAY(DATE(CalendarYear,2,22),1),"aaa")</f>
        <v>Mon</v>
      </c>
      <c r="Y5" s="2" t="str">
        <f>TEXT(WEEKDAY(DATE(CalendarYear,2,23),1),"aaa")</f>
        <v>Tue</v>
      </c>
      <c r="Z5" s="2" t="str">
        <f>TEXT(WEEKDAY(DATE(CalendarYear,2,24),1),"aaa")</f>
        <v>Wed</v>
      </c>
      <c r="AA5" s="2" t="str">
        <f>TEXT(WEEKDAY(DATE(CalendarYear,2,25),1),"aaa")</f>
        <v>Thu</v>
      </c>
      <c r="AB5" s="2" t="str">
        <f>TEXT(WEEKDAY(DATE(CalendarYear,2,26),1),"aaa")</f>
        <v>Fri</v>
      </c>
      <c r="AC5" s="2" t="str">
        <f>TEXT(WEEKDAY(DATE(CalendarYear,2,27),1),"aaa")</f>
        <v>Sat</v>
      </c>
      <c r="AD5" s="2" t="str">
        <f>TEXT(WEEKDAY(DATE(CalendarYear,2,28),1),"aaa")</f>
        <v>Sun</v>
      </c>
      <c r="AE5" s="2" t="str">
        <f>TEXT(WEEKDAY(DATE(CalendarYear,2,29),1),"aaa")</f>
        <v>Mon</v>
      </c>
      <c r="AF5" s="2"/>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39</v>
      </c>
      <c r="AG6" s="3" t="s">
        <v>40</v>
      </c>
      <c r="AH6" s="16" t="s">
        <v>34</v>
      </c>
    </row>
    <row r="7" spans="2:34" ht="30" customHeight="1" x14ac:dyDescent="0.25">
      <c r="B7" s="17" t="s">
        <v>35</v>
      </c>
      <c r="C7" s="3"/>
      <c r="D7" s="3"/>
      <c r="E7" s="3" t="s">
        <v>37</v>
      </c>
      <c r="F7" s="3" t="s">
        <v>37</v>
      </c>
      <c r="G7" s="3" t="s">
        <v>37</v>
      </c>
      <c r="H7" s="3" t="s">
        <v>37</v>
      </c>
      <c r="I7" s="3"/>
      <c r="J7" s="3"/>
      <c r="K7" s="3"/>
      <c r="L7" s="3"/>
      <c r="M7" s="3"/>
      <c r="N7" s="3"/>
      <c r="O7" s="3" t="s">
        <v>37</v>
      </c>
      <c r="P7" s="3"/>
      <c r="Q7" s="3"/>
      <c r="R7" s="3"/>
      <c r="S7" s="3"/>
      <c r="T7" s="3"/>
      <c r="U7" s="3"/>
      <c r="V7" s="3"/>
      <c r="W7" s="3"/>
      <c r="X7" s="3"/>
      <c r="Y7" s="3"/>
      <c r="Z7" s="3"/>
      <c r="AA7" s="3"/>
      <c r="AB7" s="3"/>
      <c r="AC7" s="3"/>
      <c r="AD7" s="3"/>
      <c r="AE7" s="3"/>
      <c r="AF7" s="3"/>
      <c r="AG7" s="3"/>
      <c r="AH7" s="10">
        <f>COUNTA(February[[#This Row],[1]:[29]])</f>
        <v>5</v>
      </c>
    </row>
    <row r="8" spans="2:34" ht="30" customHeight="1" x14ac:dyDescent="0.25">
      <c r="B8" s="17" t="s">
        <v>38</v>
      </c>
      <c r="C8" s="3"/>
      <c r="D8" s="3"/>
      <c r="E8" s="3"/>
      <c r="F8" s="3"/>
      <c r="G8" s="3" t="s">
        <v>36</v>
      </c>
      <c r="H8" s="3" t="s">
        <v>36</v>
      </c>
      <c r="I8" s="3"/>
      <c r="J8" s="3"/>
      <c r="K8" s="3"/>
      <c r="L8" s="3"/>
      <c r="M8" s="3" t="s">
        <v>41</v>
      </c>
      <c r="N8" s="3"/>
      <c r="O8" s="3"/>
      <c r="P8" s="3"/>
      <c r="Q8" s="3"/>
      <c r="R8" s="3"/>
      <c r="S8" s="3"/>
      <c r="T8" s="3"/>
      <c r="U8" s="3"/>
      <c r="V8" s="3" t="s">
        <v>36</v>
      </c>
      <c r="W8" s="3"/>
      <c r="X8" s="3"/>
      <c r="Y8" s="3"/>
      <c r="Z8" s="3"/>
      <c r="AA8" s="3" t="s">
        <v>37</v>
      </c>
      <c r="AB8" s="3" t="s">
        <v>37</v>
      </c>
      <c r="AC8" s="3" t="s">
        <v>37</v>
      </c>
      <c r="AD8" s="3"/>
      <c r="AE8" s="3"/>
      <c r="AF8" s="3"/>
      <c r="AG8" s="3"/>
      <c r="AH8" s="10">
        <f>COUNTA(February[[#This Row],[1]:[29]])</f>
        <v>7</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COUNTA(February[[#This Row],[1]:[29]])</f>
        <v>0</v>
      </c>
    </row>
    <row r="10" spans="2:34" ht="30" customHeight="1" x14ac:dyDescent="0.25">
      <c r="B10" s="17" t="s">
        <v>50</v>
      </c>
      <c r="C10" s="3"/>
      <c r="D10" s="3"/>
      <c r="E10" s="3" t="s">
        <v>36</v>
      </c>
      <c r="F10" s="3"/>
      <c r="G10" s="3"/>
      <c r="H10" s="3"/>
      <c r="I10" s="3"/>
      <c r="J10" s="3"/>
      <c r="K10" s="3"/>
      <c r="L10" s="3"/>
      <c r="M10" s="3"/>
      <c r="N10" s="3"/>
      <c r="O10" s="3"/>
      <c r="P10" s="3" t="s">
        <v>36</v>
      </c>
      <c r="Q10" s="3"/>
      <c r="R10" s="3"/>
      <c r="S10" s="3"/>
      <c r="T10" s="3" t="s">
        <v>41</v>
      </c>
      <c r="U10" s="3"/>
      <c r="V10" s="3"/>
      <c r="W10" s="3"/>
      <c r="X10" s="3"/>
      <c r="Y10" s="3"/>
      <c r="Z10" s="3"/>
      <c r="AA10" s="3"/>
      <c r="AB10" s="3"/>
      <c r="AC10" s="3"/>
      <c r="AD10" s="3" t="s">
        <v>36</v>
      </c>
      <c r="AE10" s="3"/>
      <c r="AF10" s="3"/>
      <c r="AG10" s="3"/>
      <c r="AH10" s="10">
        <f>COUNTA(February[[#This Row],[1]:[29]])</f>
        <v>4</v>
      </c>
    </row>
    <row r="11" spans="2:34" ht="30" customHeight="1" x14ac:dyDescent="0.25">
      <c r="B11" s="17" t="s">
        <v>51</v>
      </c>
      <c r="C11" s="3"/>
      <c r="D11" s="3"/>
      <c r="E11" s="3"/>
      <c r="F11" s="3"/>
      <c r="G11" s="3"/>
      <c r="H11" s="3"/>
      <c r="I11" s="3"/>
      <c r="J11" s="3" t="s">
        <v>37</v>
      </c>
      <c r="K11" s="3" t="s">
        <v>37</v>
      </c>
      <c r="L11" s="3" t="s">
        <v>37</v>
      </c>
      <c r="M11" s="3" t="s">
        <v>37</v>
      </c>
      <c r="N11" s="3"/>
      <c r="O11" s="3"/>
      <c r="P11" s="3"/>
      <c r="Q11" s="3"/>
      <c r="R11" s="3"/>
      <c r="S11" s="3"/>
      <c r="T11" s="3"/>
      <c r="U11" s="3"/>
      <c r="V11" s="3"/>
      <c r="W11" s="3"/>
      <c r="X11" s="3"/>
      <c r="Y11" s="3"/>
      <c r="Z11" s="3" t="s">
        <v>36</v>
      </c>
      <c r="AA11" s="3"/>
      <c r="AB11" s="3"/>
      <c r="AC11" s="3"/>
      <c r="AD11" s="3"/>
      <c r="AE11" s="3"/>
      <c r="AF11" s="3"/>
      <c r="AG11" s="3"/>
      <c r="AH11" s="10">
        <f>COUNTA(February[[#This Row],[1]:[29]])</f>
        <v>5</v>
      </c>
    </row>
    <row r="12" spans="2:34" ht="30" customHeight="1" x14ac:dyDescent="0.25">
      <c r="B12" s="21" t="str">
        <f>MonthName&amp;" Total"</f>
        <v>February Total</v>
      </c>
      <c r="C12" s="13">
        <f>SUBTOTAL(103,February[1])</f>
        <v>0</v>
      </c>
      <c r="D12" s="13">
        <f>SUBTOTAL(103,February[2])</f>
        <v>0</v>
      </c>
      <c r="E12" s="13">
        <f>SUBTOTAL(103,February[3])</f>
        <v>2</v>
      </c>
      <c r="F12" s="13">
        <f>SUBTOTAL(103,February[4])</f>
        <v>1</v>
      </c>
      <c r="G12" s="13">
        <f>SUBTOTAL(103,February[5])</f>
        <v>2</v>
      </c>
      <c r="H12" s="13">
        <f>SUBTOTAL(103,February[6])</f>
        <v>2</v>
      </c>
      <c r="I12" s="13">
        <f>SUBTOTAL(103,February[7])</f>
        <v>0</v>
      </c>
      <c r="J12" s="13">
        <f>SUBTOTAL(103,February[8])</f>
        <v>1</v>
      </c>
      <c r="K12" s="13">
        <f>SUBTOTAL(103,February[9])</f>
        <v>1</v>
      </c>
      <c r="L12" s="13">
        <f>SUBTOTAL(103,February[10])</f>
        <v>1</v>
      </c>
      <c r="M12" s="13">
        <f>SUBTOTAL(103,February[11])</f>
        <v>2</v>
      </c>
      <c r="N12" s="13">
        <f>SUBTOTAL(103,February[12])</f>
        <v>0</v>
      </c>
      <c r="O12" s="13">
        <f>SUBTOTAL(103,February[13])</f>
        <v>1</v>
      </c>
      <c r="P12" s="13">
        <f>SUBTOTAL(103,February[14])</f>
        <v>1</v>
      </c>
      <c r="Q12" s="13">
        <f>SUBTOTAL(103,February[15])</f>
        <v>0</v>
      </c>
      <c r="R12" s="13">
        <f>SUBTOTAL(103,February[16])</f>
        <v>0</v>
      </c>
      <c r="S12" s="13">
        <f>SUBTOTAL(103,February[17])</f>
        <v>0</v>
      </c>
      <c r="T12" s="13">
        <f>SUBTOTAL(103,February[18])</f>
        <v>1</v>
      </c>
      <c r="U12" s="13">
        <f>SUBTOTAL(103,February[19])</f>
        <v>0</v>
      </c>
      <c r="V12" s="13">
        <f>SUBTOTAL(103,February[20])</f>
        <v>1</v>
      </c>
      <c r="W12" s="13">
        <f>SUBTOTAL(103,February[21])</f>
        <v>0</v>
      </c>
      <c r="X12" s="13">
        <f>SUBTOTAL(103,February[22])</f>
        <v>0</v>
      </c>
      <c r="Y12" s="13">
        <f>SUBTOTAL(103,February[23])</f>
        <v>0</v>
      </c>
      <c r="Z12" s="13">
        <f>SUBTOTAL(103,February[24])</f>
        <v>1</v>
      </c>
      <c r="AA12" s="13">
        <f>SUBTOTAL(103,February[25])</f>
        <v>1</v>
      </c>
      <c r="AB12" s="13">
        <f>SUBTOTAL(103,February[26])</f>
        <v>1</v>
      </c>
      <c r="AC12" s="13">
        <f>SUBTOTAL(103,February[27])</f>
        <v>1</v>
      </c>
      <c r="AD12" s="13">
        <f>SUBTOTAL(103,February[28])</f>
        <v>1</v>
      </c>
      <c r="AE12" s="13">
        <f>SUBTOTAL(103,February[29])</f>
        <v>0</v>
      </c>
      <c r="AF12" s="13"/>
      <c r="AG12" s="13"/>
      <c r="AH12" s="13">
        <f>SUBTOTAL(109,February[Total Days])</f>
        <v>21</v>
      </c>
    </row>
  </sheetData>
  <mergeCells count="6">
    <mergeCell ref="C4:AG4"/>
    <mergeCell ref="D2:F2"/>
    <mergeCell ref="H2:J2"/>
    <mergeCell ref="L2:M2"/>
    <mergeCell ref="O2:Q2"/>
    <mergeCell ref="S2:U2"/>
  </mergeCells>
  <conditionalFormatting sqref="AE6">
    <cfRule type="expression" dxfId="56" priority="16">
      <formula>MONTH(DATE(CalendarYear,2,29))&lt;&gt;2</formula>
    </cfRule>
  </conditionalFormatting>
  <conditionalFormatting sqref="AE5">
    <cfRule type="expression" dxfId="55" priority="15">
      <formula>MONTH(DATE(CalendarYear,2,29))&lt;&gt;2</formula>
    </cfRule>
  </conditionalFormatting>
  <conditionalFormatting sqref="C7:AG11">
    <cfRule type="expression" priority="2" stopIfTrue="1">
      <formula>C7=""</formula>
    </cfRule>
    <cfRule type="expression" dxfId="54" priority="3" stopIfTrue="1">
      <formula>C7=KeyCustom2</formula>
    </cfRule>
  </conditionalFormatting>
  <conditionalFormatting sqref="C7:AG11">
    <cfRule type="expression" dxfId="53" priority="5" stopIfTrue="1">
      <formula>C7=KeyCustom1</formula>
    </cfRule>
    <cfRule type="expression" dxfId="52" priority="6" stopIfTrue="1">
      <formula>C7=KeySick</formula>
    </cfRule>
    <cfRule type="expression" dxfId="51" priority="7" stopIfTrue="1">
      <formula>C7=KeyPersonal</formula>
    </cfRule>
    <cfRule type="expression" dxfId="50" priority="8" stopIfTrue="1">
      <formula>C7=KeyVacation</formula>
    </cfRule>
  </conditionalFormatting>
  <conditionalFormatting sqref="AH7:AH11">
    <cfRule type="dataBar" priority="153">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dataValidations xWindow="232" yWindow="365" count="14">
    <dataValidation allowBlank="1" showInputMessage="1" showErrorMessage="1" prompt="Automatically updated year based on year entered in January worksheet" sqref="AH4"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6" xr:uid="{00000000-0002-0000-0100-000002000000}"/>
    <dataValidation allowBlank="1" showInputMessage="1" showErrorMessage="1" prompt="Automatically updated title is in this cell. To modify the title, update B1 on January worksheet" sqref="B1" xr:uid="{00000000-0002-0000-0100-000003000000}"/>
    <dataValidation allowBlank="1" showInputMessage="1" showErrorMessage="1" prompt="Month name for this absence schedule is in this cell. Absence totals for this month are in last cell of the table. Select employee names in table column B" sqref="B4"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100-000005000000}"/>
    <dataValidation allowBlank="1" showInputMessage="1" showErrorMessage="1" prompt="This row defines the keys used in the table: cell C2 is Vacation, G2 is Personal, &amp; K2 is Sick leave. Cells N2 &amp; R2 are customizable " sqref="B2" xr:uid="{00000000-0002-0000-0100-000006000000}"/>
    <dataValidation allowBlank="1" showInputMessage="1" showErrorMessage="1" prompt="Enter a label to describe the custom key at left" sqref="O2:Q2 S2:U2" xr:uid="{00000000-0002-0000-0100-000007000000}"/>
    <dataValidation allowBlank="1" showInputMessage="1" showErrorMessage="1" prompt="Enter a letter and customize the label at right to add another key item" sqref="N2 R2" xr:uid="{00000000-0002-0000-0100-000008000000}"/>
    <dataValidation allowBlank="1" showInputMessage="1" showErrorMessage="1" prompt="The letter &quot;S&quot; indicates absence due to illness" sqref="K2" xr:uid="{00000000-0002-0000-0100-000009000000}"/>
    <dataValidation allowBlank="1" showInputMessage="1" showErrorMessage="1" prompt="The letter &quot;P&quot; indicates absence due to personal reasons" sqref="G2" xr:uid="{00000000-0002-0000-0100-00000A000000}"/>
    <dataValidation allowBlank="1" showInputMessage="1" showErrorMessage="1" prompt="The letter &quot;V&quot; indicates absence due to vacation" sqref="C2" xr:uid="{00000000-0002-0000-01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1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100-00000D000000}"/>
  </dataValidations>
  <printOptions horizontalCentered="1"/>
  <pageMargins left="0.25" right="0.25" top="0.75" bottom="0.75" header="0.3" footer="0.3"/>
  <pageSetup scale="70"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B7:B11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52</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TEXT(WEEKDAY(DATE(CalendarYear,3,1),1),"aaa")</f>
        <v>Tue</v>
      </c>
      <c r="D5" s="2" t="str">
        <f>TEXT(WEEKDAY(DATE(CalendarYear,3,2),1),"aaa")</f>
        <v>Wed</v>
      </c>
      <c r="E5" s="2" t="str">
        <f>TEXT(WEEKDAY(DATE(CalendarYear,3,3),1),"aaa")</f>
        <v>Thu</v>
      </c>
      <c r="F5" s="2" t="str">
        <f>TEXT(WEEKDAY(DATE(CalendarYear,3,4),1),"aaa")</f>
        <v>Fri</v>
      </c>
      <c r="G5" s="2" t="str">
        <f>TEXT(WEEKDAY(DATE(CalendarYear,3,5),1),"aaa")</f>
        <v>Sat</v>
      </c>
      <c r="H5" s="2" t="str">
        <f>TEXT(WEEKDAY(DATE(CalendarYear,3,6),1),"aaa")</f>
        <v>Sun</v>
      </c>
      <c r="I5" s="2" t="str">
        <f>TEXT(WEEKDAY(DATE(CalendarYear,3,7),1),"aaa")</f>
        <v>Mon</v>
      </c>
      <c r="J5" s="2" t="str">
        <f>TEXT(WEEKDAY(DATE(CalendarYear,3,8),1),"aaa")</f>
        <v>Tue</v>
      </c>
      <c r="K5" s="2" t="str">
        <f>TEXT(WEEKDAY(DATE(CalendarYear,3,9),1),"aaa")</f>
        <v>Wed</v>
      </c>
      <c r="L5" s="2" t="str">
        <f>TEXT(WEEKDAY(DATE(CalendarYear,3,10),1),"aaa")</f>
        <v>Thu</v>
      </c>
      <c r="M5" s="2" t="str">
        <f>TEXT(WEEKDAY(DATE(CalendarYear,3,11),1),"aaa")</f>
        <v>Fri</v>
      </c>
      <c r="N5" s="2" t="str">
        <f>TEXT(WEEKDAY(DATE(CalendarYear,3,12),1),"aaa")</f>
        <v>Sat</v>
      </c>
      <c r="O5" s="2" t="str">
        <f>TEXT(WEEKDAY(DATE(CalendarYear,3,13),1),"aaa")</f>
        <v>Sun</v>
      </c>
      <c r="P5" s="2" t="str">
        <f>TEXT(WEEKDAY(DATE(CalendarYear,3,14),1),"aaa")</f>
        <v>Mon</v>
      </c>
      <c r="Q5" s="2" t="str">
        <f>TEXT(WEEKDAY(DATE(CalendarYear,3,15),1),"aaa")</f>
        <v>Tue</v>
      </c>
      <c r="R5" s="2" t="str">
        <f>TEXT(WEEKDAY(DATE(CalendarYear,3,16),1),"aaa")</f>
        <v>Wed</v>
      </c>
      <c r="S5" s="2" t="str">
        <f>TEXT(WEEKDAY(DATE(CalendarYear,3,17),1),"aaa")</f>
        <v>Thu</v>
      </c>
      <c r="T5" s="2" t="str">
        <f>TEXT(WEEKDAY(DATE(CalendarYear,3,18),1),"aaa")</f>
        <v>Fri</v>
      </c>
      <c r="U5" s="2" t="str">
        <f>TEXT(WEEKDAY(DATE(CalendarYear,3,19),1),"aaa")</f>
        <v>Sat</v>
      </c>
      <c r="V5" s="2" t="str">
        <f>TEXT(WEEKDAY(DATE(CalendarYear,3,20),1),"aaa")</f>
        <v>Sun</v>
      </c>
      <c r="W5" s="2" t="str">
        <f>TEXT(WEEKDAY(DATE(CalendarYear,3,21),1),"aaa")</f>
        <v>Mon</v>
      </c>
      <c r="X5" s="2" t="str">
        <f>TEXT(WEEKDAY(DATE(CalendarYear,3,22),1),"aaa")</f>
        <v>Tue</v>
      </c>
      <c r="Y5" s="2" t="str">
        <f>TEXT(WEEKDAY(DATE(CalendarYear,3,23),1),"aaa")</f>
        <v>Wed</v>
      </c>
      <c r="Z5" s="2" t="str">
        <f>TEXT(WEEKDAY(DATE(CalendarYear,3,24),1),"aaa")</f>
        <v>Thu</v>
      </c>
      <c r="AA5" s="2" t="str">
        <f>TEXT(WEEKDAY(DATE(CalendarYear,3,25),1),"aaa")</f>
        <v>Fri</v>
      </c>
      <c r="AB5" s="2" t="str">
        <f>TEXT(WEEKDAY(DATE(CalendarYear,3,26),1),"aaa")</f>
        <v>Sat</v>
      </c>
      <c r="AC5" s="2" t="str">
        <f>TEXT(WEEKDAY(DATE(CalendarYear,3,27),1),"aaa")</f>
        <v>Sun</v>
      </c>
      <c r="AD5" s="2" t="str">
        <f>TEXT(WEEKDAY(DATE(CalendarYear,3,28),1),"aaa")</f>
        <v>Mon</v>
      </c>
      <c r="AE5" s="2" t="str">
        <f>TEXT(WEEKDAY(DATE(CalendarYear,3,29),1),"aaa")</f>
        <v>Tue</v>
      </c>
      <c r="AF5" s="2" t="str">
        <f>TEXT(WEEKDAY(DATE(CalendarYear,3,30),1),"aaa")</f>
        <v>Wed</v>
      </c>
      <c r="AG5" s="2" t="str">
        <f>TEXT(WEEKDAY(DATE(CalendarYear,3,31),1),"aaa")</f>
        <v>Thu</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COUNTA(March[[#This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COUNTA(March[[#This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COUNTA(March[[#This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COUNTA(March[[#This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COUNTA(March[[#This Row],[1]:[31]])</f>
        <v>0</v>
      </c>
    </row>
    <row r="12" spans="2:34" ht="30" customHeight="1" x14ac:dyDescent="0.25">
      <c r="B12" s="21" t="str">
        <f>MonthName&amp;" Total"</f>
        <v>March Total</v>
      </c>
      <c r="C12" s="13">
        <f>SUBTOTAL(103,March[1])</f>
        <v>0</v>
      </c>
      <c r="D12" s="13">
        <f>SUBTOTAL(103,March[2])</f>
        <v>0</v>
      </c>
      <c r="E12" s="13">
        <f>SUBTOTAL(103,March[3])</f>
        <v>0</v>
      </c>
      <c r="F12" s="13">
        <f>SUBTOTAL(103,March[4])</f>
        <v>0</v>
      </c>
      <c r="G12" s="13">
        <f>SUBTOTAL(103,March[5])</f>
        <v>0</v>
      </c>
      <c r="H12" s="13">
        <f>SUBTOTAL(103,March[6])</f>
        <v>0</v>
      </c>
      <c r="I12" s="13">
        <f>SUBTOTAL(103,March[7])</f>
        <v>0</v>
      </c>
      <c r="J12" s="13">
        <f>SUBTOTAL(103,March[8])</f>
        <v>0</v>
      </c>
      <c r="K12" s="13">
        <f>SUBTOTAL(103,March[9])</f>
        <v>0</v>
      </c>
      <c r="L12" s="13">
        <f>SUBTOTAL(103,March[10])</f>
        <v>0</v>
      </c>
      <c r="M12" s="13">
        <f>SUBTOTAL(103,March[11])</f>
        <v>0</v>
      </c>
      <c r="N12" s="13">
        <f>SUBTOTAL(103,March[12])</f>
        <v>0</v>
      </c>
      <c r="O12" s="13">
        <f>SUBTOTAL(103,March[13])</f>
        <v>0</v>
      </c>
      <c r="P12" s="13">
        <f>SUBTOTAL(103,March[14])</f>
        <v>0</v>
      </c>
      <c r="Q12" s="13">
        <f>SUBTOTAL(103,March[15])</f>
        <v>0</v>
      </c>
      <c r="R12" s="13">
        <f>SUBTOTAL(103,March[16])</f>
        <v>0</v>
      </c>
      <c r="S12" s="13">
        <f>SUBTOTAL(103,March[17])</f>
        <v>0</v>
      </c>
      <c r="T12" s="13">
        <f>SUBTOTAL(103,March[18])</f>
        <v>0</v>
      </c>
      <c r="U12" s="13">
        <f>SUBTOTAL(103,March[19])</f>
        <v>0</v>
      </c>
      <c r="V12" s="13">
        <f>SUBTOTAL(103,March[20])</f>
        <v>0</v>
      </c>
      <c r="W12" s="13">
        <f>SUBTOTAL(103,March[21])</f>
        <v>0</v>
      </c>
      <c r="X12" s="13">
        <f>SUBTOTAL(103,March[22])</f>
        <v>0</v>
      </c>
      <c r="Y12" s="13">
        <f>SUBTOTAL(103,March[23])</f>
        <v>0</v>
      </c>
      <c r="Z12" s="13">
        <f>SUBTOTAL(103,March[24])</f>
        <v>0</v>
      </c>
      <c r="AA12" s="13">
        <f>SUBTOTAL(103,March[25])</f>
        <v>0</v>
      </c>
      <c r="AB12" s="13">
        <f>SUBTOTAL(103,March[26])</f>
        <v>0</v>
      </c>
      <c r="AC12" s="13">
        <f>SUBTOTAL(103,March[27])</f>
        <v>0</v>
      </c>
      <c r="AD12" s="13">
        <f>SUBTOTAL(103,March[28])</f>
        <v>0</v>
      </c>
      <c r="AE12" s="13">
        <f>SUBTOTAL(103,March[29])</f>
        <v>0</v>
      </c>
      <c r="AF12" s="13">
        <f>SUBTOTAL(109,March[30])</f>
        <v>0</v>
      </c>
      <c r="AG12" s="13">
        <f>SUBTOTAL(109,March[31])</f>
        <v>0</v>
      </c>
      <c r="AH12" s="13">
        <f>SUBTOTAL(109,March[Total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49" priority="2" stopIfTrue="1">
      <formula>C7=KeyCustom2</formula>
    </cfRule>
    <cfRule type="expression" dxfId="48" priority="3" stopIfTrue="1">
      <formula>C7=KeyCustom1</formula>
    </cfRule>
    <cfRule type="expression" dxfId="47" priority="4" stopIfTrue="1">
      <formula>C7=KeySick</formula>
    </cfRule>
    <cfRule type="expression" dxfId="46" priority="5" stopIfTrue="1">
      <formula>C7=KeyPersonal</formula>
    </cfRule>
    <cfRule type="expression" dxfId="4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200-000000000000}"/>
    <dataValidation allowBlank="1" showInputMessage="1" showErrorMessage="1" prompt="Weekdays in this row are automatically updated for the month according to the year in AH4. Each day of the month is a column to note an employee's absence and absence type" sqref="C5" xr:uid="{00000000-0002-0000-0200-000001000000}"/>
    <dataValidation allowBlank="1" showInputMessage="1" showErrorMessage="1" prompt="Month name for this absence schedule is in this cell. Absence totals for this month are in last cell of the table. Select employee names in table column B" sqref="B4" xr:uid="{00000000-0002-0000-0200-000002000000}"/>
    <dataValidation allowBlank="1" showInputMessage="1" showErrorMessage="1" prompt="This row defines the keys used in the table: cell C2 is Vacation, G2 is Personal, &amp; K2 is Sick leave. Cells N2 &amp; R2 are customizable " sqref="B2" xr:uid="{00000000-0002-0000-0200-000003000000}"/>
    <dataValidation allowBlank="1" showInputMessage="1" showErrorMessage="1" prompt="Enter a label to describe the custom key at left" sqref="O2:Q2 S2:U2" xr:uid="{00000000-0002-0000-0200-000004000000}"/>
    <dataValidation allowBlank="1" showInputMessage="1" showErrorMessage="1" prompt="Enter a letter and customize the label at right to add another key item" sqref="N2 R2" xr:uid="{00000000-0002-0000-0200-000005000000}"/>
    <dataValidation allowBlank="1" showInputMessage="1" showErrorMessage="1" prompt="The letter &quot;S&quot; indicates absence due to illness" sqref="K2" xr:uid="{00000000-0002-0000-0200-000006000000}"/>
    <dataValidation allowBlank="1" showInputMessage="1" showErrorMessage="1" prompt="The letter &quot;P&quot; indicates absence due to personal reasons" sqref="G2" xr:uid="{00000000-0002-0000-0200-000007000000}"/>
    <dataValidation allowBlank="1" showInputMessage="1" showErrorMessage="1" prompt="The letter &quot;V&quot; indicates absence due to vacation" sqref="C2" xr:uid="{00000000-0002-0000-0200-000008000000}"/>
    <dataValidation allowBlank="1" showInputMessage="1" showErrorMessage="1" prompt="Automatically updated title is in this cell. To modify the title, update B1 on January worksheet" sqref="B1"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200-00000A000000}"/>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6" xr:uid="{00000000-0002-0000-0200-00000C000000}"/>
    <dataValidation allowBlank="1" showInputMessage="1" showErrorMessage="1" prompt="Automatically updated year based on year entered in January worksheet" sqref="AH4" xr:uid="{00000000-0002-0000-02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B7:B11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53</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TEXT(WEEKDAY(DATE(CalendarYear,4,1),1),"aaa")</f>
        <v>Fri</v>
      </c>
      <c r="D5" s="2" t="str">
        <f>TEXT(WEEKDAY(DATE(CalendarYear,4,2),1),"aaa")</f>
        <v>Sat</v>
      </c>
      <c r="E5" s="2" t="str">
        <f>TEXT(WEEKDAY(DATE(CalendarYear,4,3),1),"aaa")</f>
        <v>Sun</v>
      </c>
      <c r="F5" s="2" t="str">
        <f>TEXT(WEEKDAY(DATE(CalendarYear,4,4),1),"aaa")</f>
        <v>Mon</v>
      </c>
      <c r="G5" s="2" t="str">
        <f>TEXT(WEEKDAY(DATE(CalendarYear,4,5),1),"aaa")</f>
        <v>Tue</v>
      </c>
      <c r="H5" s="2" t="str">
        <f>TEXT(WEEKDAY(DATE(CalendarYear,4,6),1),"aaa")</f>
        <v>Wed</v>
      </c>
      <c r="I5" s="2" t="str">
        <f>TEXT(WEEKDAY(DATE(CalendarYear,4,7),1),"aaa")</f>
        <v>Thu</v>
      </c>
      <c r="J5" s="2" t="str">
        <f>TEXT(WEEKDAY(DATE(CalendarYear,4,8),1),"aaa")</f>
        <v>Fri</v>
      </c>
      <c r="K5" s="2" t="str">
        <f>TEXT(WEEKDAY(DATE(CalendarYear,4,9),1),"aaa")</f>
        <v>Sat</v>
      </c>
      <c r="L5" s="2" t="str">
        <f>TEXT(WEEKDAY(DATE(CalendarYear,4,10),1),"aaa")</f>
        <v>Sun</v>
      </c>
      <c r="M5" s="2" t="str">
        <f>TEXT(WEEKDAY(DATE(CalendarYear,4,11),1),"aaa")</f>
        <v>Mon</v>
      </c>
      <c r="N5" s="2" t="str">
        <f>TEXT(WEEKDAY(DATE(CalendarYear,4,12),1),"aaa")</f>
        <v>Tue</v>
      </c>
      <c r="O5" s="2" t="str">
        <f>TEXT(WEEKDAY(DATE(CalendarYear,4,13),1),"aaa")</f>
        <v>Wed</v>
      </c>
      <c r="P5" s="2" t="str">
        <f>TEXT(WEEKDAY(DATE(CalendarYear,4,14),1),"aaa")</f>
        <v>Thu</v>
      </c>
      <c r="Q5" s="2" t="str">
        <f>TEXT(WEEKDAY(DATE(CalendarYear,4,15),1),"aaa")</f>
        <v>Fri</v>
      </c>
      <c r="R5" s="2" t="str">
        <f>TEXT(WEEKDAY(DATE(CalendarYear,4,16),1),"aaa")</f>
        <v>Sat</v>
      </c>
      <c r="S5" s="2" t="str">
        <f>TEXT(WEEKDAY(DATE(CalendarYear,4,17),1),"aaa")</f>
        <v>Sun</v>
      </c>
      <c r="T5" s="2" t="str">
        <f>TEXT(WEEKDAY(DATE(CalendarYear,4,18),1),"aaa")</f>
        <v>Mon</v>
      </c>
      <c r="U5" s="2" t="str">
        <f>TEXT(WEEKDAY(DATE(CalendarYear,4,19),1),"aaa")</f>
        <v>Tue</v>
      </c>
      <c r="V5" s="2" t="str">
        <f>TEXT(WEEKDAY(DATE(CalendarYear,4,20),1),"aaa")</f>
        <v>Wed</v>
      </c>
      <c r="W5" s="2" t="str">
        <f>TEXT(WEEKDAY(DATE(CalendarYear,4,21),1),"aaa")</f>
        <v>Thu</v>
      </c>
      <c r="X5" s="2" t="str">
        <f>TEXT(WEEKDAY(DATE(CalendarYear,4,22),1),"aaa")</f>
        <v>Fri</v>
      </c>
      <c r="Y5" s="2" t="str">
        <f>TEXT(WEEKDAY(DATE(CalendarYear,4,23),1),"aaa")</f>
        <v>Sat</v>
      </c>
      <c r="Z5" s="2" t="str">
        <f>TEXT(WEEKDAY(DATE(CalendarYear,4,24),1),"aaa")</f>
        <v>Sun</v>
      </c>
      <c r="AA5" s="2" t="str">
        <f>TEXT(WEEKDAY(DATE(CalendarYear,4,25),1),"aaa")</f>
        <v>Mon</v>
      </c>
      <c r="AB5" s="2" t="str">
        <f>TEXT(WEEKDAY(DATE(CalendarYear,4,26),1),"aaa")</f>
        <v>Tue</v>
      </c>
      <c r="AC5" s="2" t="str">
        <f>TEXT(WEEKDAY(DATE(CalendarYear,4,27),1),"aaa")</f>
        <v>Wed</v>
      </c>
      <c r="AD5" s="2" t="str">
        <f>TEXT(WEEKDAY(DATE(CalendarYear,4,28),1),"aaa")</f>
        <v>Thu</v>
      </c>
      <c r="AE5" s="2" t="str">
        <f>TEXT(WEEKDAY(DATE(CalendarYear,4,29),1),"aaa")</f>
        <v>Fri</v>
      </c>
      <c r="AF5" s="2" t="str">
        <f>TEXT(WEEKDAY(DATE(CalendarYear,4,30),1),"aaa")</f>
        <v>Sat</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COUNTA(April[[#This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COUNTA(April[[#This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COUNTA(April[[#This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COUNTA(April[[#This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COUNTA(April[[#This Row],[1]:[31]])</f>
        <v>0</v>
      </c>
    </row>
    <row r="12" spans="2:34" ht="30" customHeight="1" x14ac:dyDescent="0.25">
      <c r="B12" s="21" t="str">
        <f>MonthName&amp;" Total"</f>
        <v>April Total</v>
      </c>
      <c r="C12" s="13">
        <f>SUBTOTAL(103,April[1])</f>
        <v>0</v>
      </c>
      <c r="D12" s="13">
        <f>SUBTOTAL(103,April[2])</f>
        <v>0</v>
      </c>
      <c r="E12" s="13">
        <f>SUBTOTAL(103,April[3])</f>
        <v>0</v>
      </c>
      <c r="F12" s="13">
        <f>SUBTOTAL(103,April[4])</f>
        <v>0</v>
      </c>
      <c r="G12" s="13">
        <f>SUBTOTAL(103,April[5])</f>
        <v>0</v>
      </c>
      <c r="H12" s="13">
        <f>SUBTOTAL(103,April[6])</f>
        <v>0</v>
      </c>
      <c r="I12" s="13">
        <f>SUBTOTAL(103,April[7])</f>
        <v>0</v>
      </c>
      <c r="J12" s="13">
        <f>SUBTOTAL(103,April[8])</f>
        <v>0</v>
      </c>
      <c r="K12" s="13">
        <f>SUBTOTAL(103,April[9])</f>
        <v>0</v>
      </c>
      <c r="L12" s="13">
        <f>SUBTOTAL(103,April[10])</f>
        <v>0</v>
      </c>
      <c r="M12" s="13">
        <f>SUBTOTAL(103,April[11])</f>
        <v>0</v>
      </c>
      <c r="N12" s="13">
        <f>SUBTOTAL(103,April[12])</f>
        <v>0</v>
      </c>
      <c r="O12" s="13">
        <f>SUBTOTAL(103,April[13])</f>
        <v>0</v>
      </c>
      <c r="P12" s="13">
        <f>SUBTOTAL(103,April[14])</f>
        <v>0</v>
      </c>
      <c r="Q12" s="13">
        <f>SUBTOTAL(103,April[15])</f>
        <v>0</v>
      </c>
      <c r="R12" s="13">
        <f>SUBTOTAL(103,April[16])</f>
        <v>0</v>
      </c>
      <c r="S12" s="13">
        <f>SUBTOTAL(103,April[17])</f>
        <v>0</v>
      </c>
      <c r="T12" s="13">
        <f>SUBTOTAL(103,April[18])</f>
        <v>0</v>
      </c>
      <c r="U12" s="13">
        <f>SUBTOTAL(103,April[19])</f>
        <v>0</v>
      </c>
      <c r="V12" s="13">
        <f>SUBTOTAL(103,April[20])</f>
        <v>0</v>
      </c>
      <c r="W12" s="13">
        <f>SUBTOTAL(103,April[21])</f>
        <v>0</v>
      </c>
      <c r="X12" s="13">
        <f>SUBTOTAL(103,April[22])</f>
        <v>0</v>
      </c>
      <c r="Y12" s="13">
        <f>SUBTOTAL(103,April[23])</f>
        <v>0</v>
      </c>
      <c r="Z12" s="13">
        <f>SUBTOTAL(103,April[24])</f>
        <v>0</v>
      </c>
      <c r="AA12" s="13">
        <f>SUBTOTAL(103,April[25])</f>
        <v>0</v>
      </c>
      <c r="AB12" s="13">
        <f>SUBTOTAL(103,April[26])</f>
        <v>0</v>
      </c>
      <c r="AC12" s="13">
        <f>SUBTOTAL(103,April[27])</f>
        <v>0</v>
      </c>
      <c r="AD12" s="13">
        <f>SUBTOTAL(103,April[28])</f>
        <v>0</v>
      </c>
      <c r="AE12" s="13">
        <f>SUBTOTAL(103,April[29])</f>
        <v>0</v>
      </c>
      <c r="AF12" s="13">
        <f>SUBTOTAL(109,April[30])</f>
        <v>0</v>
      </c>
      <c r="AG12" s="13">
        <f>SUBTOTAL(109,April[31])</f>
        <v>0</v>
      </c>
      <c r="AH12" s="13">
        <f>SUBTOTAL(109,April[Total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44" priority="2" stopIfTrue="1">
      <formula>C7=KeyCustom2</formula>
    </cfRule>
    <cfRule type="expression" dxfId="43" priority="3" stopIfTrue="1">
      <formula>C7=KeyCustom1</formula>
    </cfRule>
    <cfRule type="expression" dxfId="42" priority="4" stopIfTrue="1">
      <formula>C7=KeySick</formula>
    </cfRule>
    <cfRule type="expression" dxfId="41" priority="5" stopIfTrue="1">
      <formula>C7=KeyPersonal</formula>
    </cfRule>
    <cfRule type="expression" dxfId="4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{0C86709F-D813-4066-A3F1-C30F11214F4B}</x14:id>
        </ext>
      </extLst>
    </cfRule>
  </conditionalFormatting>
  <dataValidations count="14">
    <dataValidation allowBlank="1" showInputMessage="1" showErrorMessage="1" prompt="Automatically updated year based on year entered in January worksheet" sqref="AH4" xr:uid="{00000000-0002-0000-0300-000000000000}"/>
    <dataValidation allowBlank="1" showInputMessage="1" showErrorMessage="1" prompt="Automatically calculates total number of days an employee was absent this month in this column" sqref="AH6" xr:uid="{00000000-0002-0000-0300-000001000000}"/>
    <dataValidation allowBlank="1" showInputMessage="1" showErrorMessage="1" prompt="Track April absence in this worksheet" sqref="A1" xr:uid="{00000000-0002-0000-03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300-000003000000}"/>
    <dataValidation allowBlank="1" showInputMessage="1" showErrorMessage="1" prompt="Automatically updated title is in this cell. To modify the title, update B1 on January worksheet" sqref="B1" xr:uid="{00000000-0002-0000-0300-000004000000}"/>
    <dataValidation allowBlank="1" showInputMessage="1" showErrorMessage="1" prompt="The letter &quot;V&quot; indicates absence due to vacation" sqref="C2" xr:uid="{00000000-0002-0000-0300-000005000000}"/>
    <dataValidation allowBlank="1" showInputMessage="1" showErrorMessage="1" prompt="The letter &quot;P&quot; indicates absence due to personal reasons" sqref="G2" xr:uid="{00000000-0002-0000-0300-000006000000}"/>
    <dataValidation allowBlank="1" showInputMessage="1" showErrorMessage="1" prompt="The letter &quot;S&quot; indicates absence due to illness" sqref="K2" xr:uid="{00000000-0002-0000-0300-000007000000}"/>
    <dataValidation allowBlank="1" showInputMessage="1" showErrorMessage="1" prompt="Enter a letter and customize the label at right to add another key item" sqref="N2 R2" xr:uid="{00000000-0002-0000-0300-000008000000}"/>
    <dataValidation allowBlank="1" showInputMessage="1" showErrorMessage="1" prompt="Enter a label to describe the custom key at left" sqref="O2:Q2 S2:U2" xr:uid="{00000000-0002-0000-0300-000009000000}"/>
    <dataValidation allowBlank="1" showInputMessage="1" showErrorMessage="1" prompt="This row defines the keys used in the table: cell C2 is Vacation, G2 is Personal, &amp; K2 is Sick leave. Cells N2 &amp; R2 are customizable " sqref="B2" xr:uid="{00000000-0002-0000-0300-00000A000000}"/>
    <dataValidation allowBlank="1" showInputMessage="1" showErrorMessage="1" prompt="Month name for this absence schedule is in this cell. Absence totals for this month are in last cell of the table. Select employee names in table column B" sqref="B4" xr:uid="{00000000-0002-0000-0300-00000B000000}"/>
    <dataValidation allowBlank="1" showInputMessage="1" showErrorMessage="1" prompt="Days of the month in this row are automatically generated. Enter an employee's absence and absence type in each column for each day of the month. Blank means no absence" sqref="C6" xr:uid="{00000000-0002-0000-03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3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C86709F-D813-4066-A3F1-C30F11214F4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'Employee Names'!$B$4:$B$8</xm:f>
          </x14:formula1>
          <xm:sqref>B7:B11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54</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TEXT(WEEKDAY(DATE(CalendarYear,5,1),1),"aaa")</f>
        <v>Sun</v>
      </c>
      <c r="D5" s="2" t="str">
        <f>TEXT(WEEKDAY(DATE(CalendarYear,5,2),1),"aaa")</f>
        <v>Mon</v>
      </c>
      <c r="E5" s="2" t="str">
        <f>TEXT(WEEKDAY(DATE(CalendarYear,5,3),1),"aaa")</f>
        <v>Tue</v>
      </c>
      <c r="F5" s="2" t="str">
        <f>TEXT(WEEKDAY(DATE(CalendarYear,5,4),1),"aaa")</f>
        <v>Wed</v>
      </c>
      <c r="G5" s="2" t="str">
        <f>TEXT(WEEKDAY(DATE(CalendarYear,5,5),1),"aaa")</f>
        <v>Thu</v>
      </c>
      <c r="H5" s="2" t="str">
        <f>TEXT(WEEKDAY(DATE(CalendarYear,5,6),1),"aaa")</f>
        <v>Fri</v>
      </c>
      <c r="I5" s="2" t="str">
        <f>TEXT(WEEKDAY(DATE(CalendarYear,5,7),1),"aaa")</f>
        <v>Sat</v>
      </c>
      <c r="J5" s="2" t="str">
        <f>TEXT(WEEKDAY(DATE(CalendarYear,5,8),1),"aaa")</f>
        <v>Sun</v>
      </c>
      <c r="K5" s="2" t="str">
        <f>TEXT(WEEKDAY(DATE(CalendarYear,5,9),1),"aaa")</f>
        <v>Mon</v>
      </c>
      <c r="L5" s="2" t="str">
        <f>TEXT(WEEKDAY(DATE(CalendarYear,5,10),1),"aaa")</f>
        <v>Tue</v>
      </c>
      <c r="M5" s="2" t="str">
        <f>TEXT(WEEKDAY(DATE(CalendarYear,5,11),1),"aaa")</f>
        <v>Wed</v>
      </c>
      <c r="N5" s="2" t="str">
        <f>TEXT(WEEKDAY(DATE(CalendarYear,5,12),1),"aaa")</f>
        <v>Thu</v>
      </c>
      <c r="O5" s="2" t="str">
        <f>TEXT(WEEKDAY(DATE(CalendarYear,5,13),1),"aaa")</f>
        <v>Fri</v>
      </c>
      <c r="P5" s="2" t="str">
        <f>TEXT(WEEKDAY(DATE(CalendarYear,5,14),1),"aaa")</f>
        <v>Sat</v>
      </c>
      <c r="Q5" s="2" t="str">
        <f>TEXT(WEEKDAY(DATE(CalendarYear,5,15),1),"aaa")</f>
        <v>Sun</v>
      </c>
      <c r="R5" s="2" t="str">
        <f>TEXT(WEEKDAY(DATE(CalendarYear,5,16),1),"aaa")</f>
        <v>Mon</v>
      </c>
      <c r="S5" s="2" t="str">
        <f>TEXT(WEEKDAY(DATE(CalendarYear,5,17),1),"aaa")</f>
        <v>Tue</v>
      </c>
      <c r="T5" s="2" t="str">
        <f>TEXT(WEEKDAY(DATE(CalendarYear,5,18),1),"aaa")</f>
        <v>Wed</v>
      </c>
      <c r="U5" s="2" t="str">
        <f>TEXT(WEEKDAY(DATE(CalendarYear,5,19),1),"aaa")</f>
        <v>Thu</v>
      </c>
      <c r="V5" s="2" t="str">
        <f>TEXT(WEEKDAY(DATE(CalendarYear,5,20),1),"aaa")</f>
        <v>Fri</v>
      </c>
      <c r="W5" s="2" t="str">
        <f>TEXT(WEEKDAY(DATE(CalendarYear,5,21),1),"aaa")</f>
        <v>Sat</v>
      </c>
      <c r="X5" s="2" t="str">
        <f>TEXT(WEEKDAY(DATE(CalendarYear,5,22),1),"aaa")</f>
        <v>Sun</v>
      </c>
      <c r="Y5" s="2" t="str">
        <f>TEXT(WEEKDAY(DATE(CalendarYear,5,23),1),"aaa")</f>
        <v>Mon</v>
      </c>
      <c r="Z5" s="2" t="str">
        <f>TEXT(WEEKDAY(DATE(CalendarYear,5,24),1),"aaa")</f>
        <v>Tue</v>
      </c>
      <c r="AA5" s="2" t="str">
        <f>TEXT(WEEKDAY(DATE(CalendarYear,5,25),1),"aaa")</f>
        <v>Wed</v>
      </c>
      <c r="AB5" s="2" t="str">
        <f>TEXT(WEEKDAY(DATE(CalendarYear,5,26),1),"aaa")</f>
        <v>Thu</v>
      </c>
      <c r="AC5" s="2" t="str">
        <f>TEXT(WEEKDAY(DATE(CalendarYear,5,27),1),"aaa")</f>
        <v>Fri</v>
      </c>
      <c r="AD5" s="2" t="str">
        <f>TEXT(WEEKDAY(DATE(CalendarYear,5,28),1),"aaa")</f>
        <v>Sat</v>
      </c>
      <c r="AE5" s="2" t="str">
        <f>TEXT(WEEKDAY(DATE(CalendarYear,5,29),1),"aaa")</f>
        <v>Sun</v>
      </c>
      <c r="AF5" s="2" t="str">
        <f>TEXT(WEEKDAY(DATE(CalendarYear,5,30),1),"aaa")</f>
        <v>Mon</v>
      </c>
      <c r="AG5" s="2" t="str">
        <f>TEXT(WEEKDAY(DATE(CalendarYear,5,31),1),"aaa")</f>
        <v>Tue</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COUNTA(May[[#This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COUNTA(May[[#This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COUNTA(May[[#This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COUNTA(May[[#This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COUNTA(May[[#This Row],[1]:[31]])</f>
        <v>0</v>
      </c>
    </row>
    <row r="12" spans="2:34" ht="30" customHeight="1" x14ac:dyDescent="0.25">
      <c r="B12" s="21" t="str">
        <f>MonthName&amp;" Total"</f>
        <v>May Total</v>
      </c>
      <c r="C12" s="13">
        <f>SUBTOTAL(103,May[1])</f>
        <v>0</v>
      </c>
      <c r="D12" s="13">
        <f>SUBTOTAL(103,May[2])</f>
        <v>0</v>
      </c>
      <c r="E12" s="13">
        <f>SUBTOTAL(103,May[3])</f>
        <v>0</v>
      </c>
      <c r="F12" s="13">
        <f>SUBTOTAL(103,May[4])</f>
        <v>0</v>
      </c>
      <c r="G12" s="13">
        <f>SUBTOTAL(103,May[5])</f>
        <v>0</v>
      </c>
      <c r="H12" s="13">
        <f>SUBTOTAL(103,May[6])</f>
        <v>0</v>
      </c>
      <c r="I12" s="13">
        <f>SUBTOTAL(103,May[7])</f>
        <v>0</v>
      </c>
      <c r="J12" s="13">
        <f>SUBTOTAL(103,May[8])</f>
        <v>0</v>
      </c>
      <c r="K12" s="13">
        <f>SUBTOTAL(103,May[9])</f>
        <v>0</v>
      </c>
      <c r="L12" s="13">
        <f>SUBTOTAL(103,May[10])</f>
        <v>0</v>
      </c>
      <c r="M12" s="13">
        <f>SUBTOTAL(103,May[11])</f>
        <v>0</v>
      </c>
      <c r="N12" s="13">
        <f>SUBTOTAL(103,May[12])</f>
        <v>0</v>
      </c>
      <c r="O12" s="13">
        <f>SUBTOTAL(103,May[13])</f>
        <v>0</v>
      </c>
      <c r="P12" s="13">
        <f>SUBTOTAL(103,May[14])</f>
        <v>0</v>
      </c>
      <c r="Q12" s="13">
        <f>SUBTOTAL(103,May[15])</f>
        <v>0</v>
      </c>
      <c r="R12" s="13">
        <f>SUBTOTAL(103,May[16])</f>
        <v>0</v>
      </c>
      <c r="S12" s="13">
        <f>SUBTOTAL(103,May[17])</f>
        <v>0</v>
      </c>
      <c r="T12" s="13">
        <f>SUBTOTAL(103,May[18])</f>
        <v>0</v>
      </c>
      <c r="U12" s="13">
        <f>SUBTOTAL(103,May[19])</f>
        <v>0</v>
      </c>
      <c r="V12" s="13">
        <f>SUBTOTAL(103,May[20])</f>
        <v>0</v>
      </c>
      <c r="W12" s="13">
        <f>SUBTOTAL(103,May[21])</f>
        <v>0</v>
      </c>
      <c r="X12" s="13">
        <f>SUBTOTAL(103,May[22])</f>
        <v>0</v>
      </c>
      <c r="Y12" s="13">
        <f>SUBTOTAL(103,May[23])</f>
        <v>0</v>
      </c>
      <c r="Z12" s="13">
        <f>SUBTOTAL(103,May[24])</f>
        <v>0</v>
      </c>
      <c r="AA12" s="13">
        <f>SUBTOTAL(103,May[25])</f>
        <v>0</v>
      </c>
      <c r="AB12" s="13">
        <f>SUBTOTAL(103,May[26])</f>
        <v>0</v>
      </c>
      <c r="AC12" s="13">
        <f>SUBTOTAL(103,May[27])</f>
        <v>0</v>
      </c>
      <c r="AD12" s="13">
        <f>SUBTOTAL(103,May[28])</f>
        <v>0</v>
      </c>
      <c r="AE12" s="13">
        <f>SUBTOTAL(103,May[29])</f>
        <v>0</v>
      </c>
      <c r="AF12" s="13">
        <f>SUBTOTAL(109,May[30])</f>
        <v>0</v>
      </c>
      <c r="AG12" s="13">
        <f>SUBTOTAL(109,May[31])</f>
        <v>0</v>
      </c>
      <c r="AH12" s="13">
        <f>SUBTOTAL(109,May[Total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39" priority="2" stopIfTrue="1">
      <formula>C7=KeyCustom2</formula>
    </cfRule>
    <cfRule type="expression" dxfId="38" priority="3" stopIfTrue="1">
      <formula>C7=KeyCustom1</formula>
    </cfRule>
    <cfRule type="expression" dxfId="37" priority="4" stopIfTrue="1">
      <formula>C7=KeySick</formula>
    </cfRule>
    <cfRule type="expression" dxfId="36" priority="5" stopIfTrue="1">
      <formula>C7=KeyPersonal</formula>
    </cfRule>
    <cfRule type="expression" dxfId="3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{5670947F-8B3C-4A6C-A280-4F5E10811DCE}</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400-000000000000}"/>
    <dataValidation allowBlank="1" showInputMessage="1" showErrorMessage="1" prompt="Month name for this absence schedule is in this cell. Absence totals for this month are in last cell of the table. Select employee names in table column B" sqref="B4" xr:uid="{00000000-0002-0000-0400-000001000000}"/>
    <dataValidation allowBlank="1" showInputMessage="1" showErrorMessage="1" prompt="This row defines the keys used in the table: cell C2 is Vacation, G2 is Personal, &amp; K2 is Sick leave. Cells N2 &amp; R2 are customizable " sqref="B2" xr:uid="{00000000-0002-0000-0400-000002000000}"/>
    <dataValidation allowBlank="1" showInputMessage="1" showErrorMessage="1" prompt="Enter a label to describe the custom key at left" sqref="O2:Q2 S2:U2" xr:uid="{00000000-0002-0000-0400-000003000000}"/>
    <dataValidation allowBlank="1" showInputMessage="1" showErrorMessage="1" prompt="Enter a letter and customize the label at right to add another key item" sqref="N2 R2" xr:uid="{00000000-0002-0000-0400-000004000000}"/>
    <dataValidation allowBlank="1" showInputMessage="1" showErrorMessage="1" prompt="The letter &quot;S&quot; indicates absence due to illness" sqref="K2" xr:uid="{00000000-0002-0000-0400-000005000000}"/>
    <dataValidation allowBlank="1" showInputMessage="1" showErrorMessage="1" prompt="The letter &quot;P&quot; indicates absence due to personal reasons" sqref="G2" xr:uid="{00000000-0002-0000-0400-000006000000}"/>
    <dataValidation allowBlank="1" showInputMessage="1" showErrorMessage="1" prompt="The letter &quot;V&quot; indicates absence due to vacation" sqref="C2" xr:uid="{00000000-0002-0000-0400-000007000000}"/>
    <dataValidation allowBlank="1" showInputMessage="1" showErrorMessage="1" prompt="Automatically updated title is in this cell. To modify the title, update B1 on January worksheet" sqref="B1" xr:uid="{00000000-0002-0000-04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400-000009000000}"/>
    <dataValidation allowBlank="1" showInputMessage="1" showErrorMessage="1" prompt="Track May absence in this worksheet" sqref="A1" xr:uid="{00000000-0002-0000-0400-00000A000000}"/>
    <dataValidation allowBlank="1" showInputMessage="1" showErrorMessage="1" prompt="Automatically calculates total number of days an employee was absent this month in this column" sqref="AH6" xr:uid="{00000000-0002-0000-0400-00000B000000}"/>
    <dataValidation allowBlank="1" showInputMessage="1" showErrorMessage="1" prompt="Automatically updated year based on year entered in January worksheet" sqref="AH4" xr:uid="{00000000-0002-0000-04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4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670947F-8B3C-4A6C-A280-4F5E10811DCE}">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E000000}">
          <x14:formula1>
            <xm:f>'Employee Names'!$B$4:$B$8</xm:f>
          </x14:formula1>
          <xm:sqref>B7:B11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55</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TEXT(WEEKDAY(DATE(CalendarYear,6,1),1),"aaa")</f>
        <v>Wed</v>
      </c>
      <c r="D5" s="2" t="str">
        <f>TEXT(WEEKDAY(DATE(CalendarYear,6,2),1),"aaa")</f>
        <v>Thu</v>
      </c>
      <c r="E5" s="2" t="str">
        <f>TEXT(WEEKDAY(DATE(CalendarYear,6,3),1),"aaa")</f>
        <v>Fri</v>
      </c>
      <c r="F5" s="2" t="str">
        <f>TEXT(WEEKDAY(DATE(CalendarYear,6,4),1),"aaa")</f>
        <v>Sat</v>
      </c>
      <c r="G5" s="2" t="str">
        <f>TEXT(WEEKDAY(DATE(CalendarYear,6,5),1),"aaa")</f>
        <v>Sun</v>
      </c>
      <c r="H5" s="2" t="str">
        <f>TEXT(WEEKDAY(DATE(CalendarYear,6,6),1),"aaa")</f>
        <v>Mon</v>
      </c>
      <c r="I5" s="2" t="str">
        <f>TEXT(WEEKDAY(DATE(CalendarYear,6,7),1),"aaa")</f>
        <v>Tue</v>
      </c>
      <c r="J5" s="2" t="str">
        <f>TEXT(WEEKDAY(DATE(CalendarYear,6,8),1),"aaa")</f>
        <v>Wed</v>
      </c>
      <c r="K5" s="2" t="str">
        <f>TEXT(WEEKDAY(DATE(CalendarYear,6,9),1),"aaa")</f>
        <v>Thu</v>
      </c>
      <c r="L5" s="2" t="str">
        <f>TEXT(WEEKDAY(DATE(CalendarYear,6,10),1),"aaa")</f>
        <v>Fri</v>
      </c>
      <c r="M5" s="2" t="str">
        <f>TEXT(WEEKDAY(DATE(CalendarYear,6,11),1),"aaa")</f>
        <v>Sat</v>
      </c>
      <c r="N5" s="2" t="str">
        <f>TEXT(WEEKDAY(DATE(CalendarYear,6,12),1),"aaa")</f>
        <v>Sun</v>
      </c>
      <c r="O5" s="2" t="str">
        <f>TEXT(WEEKDAY(DATE(CalendarYear,6,13),1),"aaa")</f>
        <v>Mon</v>
      </c>
      <c r="P5" s="2" t="str">
        <f>TEXT(WEEKDAY(DATE(CalendarYear,6,14),1),"aaa")</f>
        <v>Tue</v>
      </c>
      <c r="Q5" s="2" t="str">
        <f>TEXT(WEEKDAY(DATE(CalendarYear,6,15),1),"aaa")</f>
        <v>Wed</v>
      </c>
      <c r="R5" s="2" t="str">
        <f>TEXT(WEEKDAY(DATE(CalendarYear,6,16),1),"aaa")</f>
        <v>Thu</v>
      </c>
      <c r="S5" s="2" t="str">
        <f>TEXT(WEEKDAY(DATE(CalendarYear,6,17),1),"aaa")</f>
        <v>Fri</v>
      </c>
      <c r="T5" s="2" t="str">
        <f>TEXT(WEEKDAY(DATE(CalendarYear,6,18),1),"aaa")</f>
        <v>Sat</v>
      </c>
      <c r="U5" s="2" t="str">
        <f>TEXT(WEEKDAY(DATE(CalendarYear,6,19),1),"aaa")</f>
        <v>Sun</v>
      </c>
      <c r="V5" s="2" t="str">
        <f>TEXT(WEEKDAY(DATE(CalendarYear,6,20),1),"aaa")</f>
        <v>Mon</v>
      </c>
      <c r="W5" s="2" t="str">
        <f>TEXT(WEEKDAY(DATE(CalendarYear,6,21),1),"aaa")</f>
        <v>Tue</v>
      </c>
      <c r="X5" s="2" t="str">
        <f>TEXT(WEEKDAY(DATE(CalendarYear,6,22),1),"aaa")</f>
        <v>Wed</v>
      </c>
      <c r="Y5" s="2" t="str">
        <f>TEXT(WEEKDAY(DATE(CalendarYear,6,23),1),"aaa")</f>
        <v>Thu</v>
      </c>
      <c r="Z5" s="2" t="str">
        <f>TEXT(WEEKDAY(DATE(CalendarYear,6,24),1),"aaa")</f>
        <v>Fri</v>
      </c>
      <c r="AA5" s="2" t="str">
        <f>TEXT(WEEKDAY(DATE(CalendarYear,6,25),1),"aaa")</f>
        <v>Sat</v>
      </c>
      <c r="AB5" s="2" t="str">
        <f>TEXT(WEEKDAY(DATE(CalendarYear,6,26),1),"aaa")</f>
        <v>Sun</v>
      </c>
      <c r="AC5" s="2" t="str">
        <f>TEXT(WEEKDAY(DATE(CalendarYear,6,27),1),"aaa")</f>
        <v>Mon</v>
      </c>
      <c r="AD5" s="2" t="str">
        <f>TEXT(WEEKDAY(DATE(CalendarYear,6,28),1),"aaa")</f>
        <v>Tue</v>
      </c>
      <c r="AE5" s="2" t="str">
        <f>TEXT(WEEKDAY(DATE(CalendarYear,6,29),1),"aaa")</f>
        <v>Wed</v>
      </c>
      <c r="AF5" s="2" t="str">
        <f>TEXT(WEEKDAY(DATE(CalendarYear,6,30),1),"aaa")</f>
        <v>Thu</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COUNTA(June[[#This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COUNTA(June[[#This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COUNTA(June[[#This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COUNTA(June[[#This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COUNTA(June[[#This Row],[1]:[31]])</f>
        <v>0</v>
      </c>
    </row>
    <row r="12" spans="2:34" ht="30" customHeight="1" x14ac:dyDescent="0.25">
      <c r="B12" s="21" t="str">
        <f>MonthName&amp;" Total"</f>
        <v>June Total</v>
      </c>
      <c r="C12" s="13">
        <f>SUBTOTAL(103,June[1])</f>
        <v>0</v>
      </c>
      <c r="D12" s="13">
        <f>SUBTOTAL(103,June[2])</f>
        <v>0</v>
      </c>
      <c r="E12" s="13">
        <f>SUBTOTAL(103,June[3])</f>
        <v>0</v>
      </c>
      <c r="F12" s="13">
        <f>SUBTOTAL(103,June[4])</f>
        <v>0</v>
      </c>
      <c r="G12" s="13">
        <f>SUBTOTAL(103,June[5])</f>
        <v>0</v>
      </c>
      <c r="H12" s="13">
        <f>SUBTOTAL(103,June[6])</f>
        <v>0</v>
      </c>
      <c r="I12" s="13">
        <f>SUBTOTAL(103,June[7])</f>
        <v>0</v>
      </c>
      <c r="J12" s="13">
        <f>SUBTOTAL(103,June[8])</f>
        <v>0</v>
      </c>
      <c r="K12" s="13">
        <f>SUBTOTAL(103,June[9])</f>
        <v>0</v>
      </c>
      <c r="L12" s="13">
        <f>SUBTOTAL(103,June[10])</f>
        <v>0</v>
      </c>
      <c r="M12" s="13">
        <f>SUBTOTAL(103,June[11])</f>
        <v>0</v>
      </c>
      <c r="N12" s="13">
        <f>SUBTOTAL(103,June[12])</f>
        <v>0</v>
      </c>
      <c r="O12" s="13">
        <f>SUBTOTAL(103,June[13])</f>
        <v>0</v>
      </c>
      <c r="P12" s="13">
        <f>SUBTOTAL(103,June[14])</f>
        <v>0</v>
      </c>
      <c r="Q12" s="13">
        <f>SUBTOTAL(103,June[15])</f>
        <v>0</v>
      </c>
      <c r="R12" s="13">
        <f>SUBTOTAL(103,June[16])</f>
        <v>0</v>
      </c>
      <c r="S12" s="13">
        <f>SUBTOTAL(103,June[17])</f>
        <v>0</v>
      </c>
      <c r="T12" s="13">
        <f>SUBTOTAL(103,June[18])</f>
        <v>0</v>
      </c>
      <c r="U12" s="13">
        <f>SUBTOTAL(103,June[19])</f>
        <v>0</v>
      </c>
      <c r="V12" s="13">
        <f>SUBTOTAL(103,June[20])</f>
        <v>0</v>
      </c>
      <c r="W12" s="13">
        <f>SUBTOTAL(103,June[21])</f>
        <v>0</v>
      </c>
      <c r="X12" s="13">
        <f>SUBTOTAL(103,June[22])</f>
        <v>0</v>
      </c>
      <c r="Y12" s="13">
        <f>SUBTOTAL(103,June[23])</f>
        <v>0</v>
      </c>
      <c r="Z12" s="13">
        <f>SUBTOTAL(103,June[24])</f>
        <v>0</v>
      </c>
      <c r="AA12" s="13">
        <f>SUBTOTAL(103,June[25])</f>
        <v>0</v>
      </c>
      <c r="AB12" s="13">
        <f>SUBTOTAL(103,June[26])</f>
        <v>0</v>
      </c>
      <c r="AC12" s="13">
        <f>SUBTOTAL(103,June[27])</f>
        <v>0</v>
      </c>
      <c r="AD12" s="13">
        <f>SUBTOTAL(103,June[28])</f>
        <v>0</v>
      </c>
      <c r="AE12" s="13">
        <f>SUBTOTAL(103,June[29])</f>
        <v>0</v>
      </c>
      <c r="AF12" s="13">
        <f>SUBTOTAL(109,June[30])</f>
        <v>0</v>
      </c>
      <c r="AG12" s="13">
        <f>SUBTOTAL(109,June[31])</f>
        <v>0</v>
      </c>
      <c r="AH12" s="13">
        <f>SUBTOTAL(109,June[Total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34" priority="2" stopIfTrue="1">
      <formula>C7=KeyCustom2</formula>
    </cfRule>
    <cfRule type="expression" dxfId="33" priority="3" stopIfTrue="1">
      <formula>C7=KeyCustom1</formula>
    </cfRule>
    <cfRule type="expression" dxfId="32" priority="4" stopIfTrue="1">
      <formula>C7=KeySick</formula>
    </cfRule>
    <cfRule type="expression" dxfId="31" priority="5" stopIfTrue="1">
      <formula>C7=KeyPersonal</formula>
    </cfRule>
    <cfRule type="expression" dxfId="3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500-000000000000}"/>
    <dataValidation allowBlank="1" showInputMessage="1" showErrorMessage="1" prompt="Automatically updated year based on year entered in January worksheet" sqref="AH4" xr:uid="{00000000-0002-0000-0500-000001000000}"/>
    <dataValidation allowBlank="1" showInputMessage="1" showErrorMessage="1" prompt="Automatically calculates total number of days an employee was absent this month in this column" sqref="AH6" xr:uid="{00000000-0002-0000-0500-000002000000}"/>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500-000004000000}"/>
    <dataValidation allowBlank="1" showInputMessage="1" showErrorMessage="1" prompt="Automatically updated title is in this cell. To modify the title, update B1 on January worksheet" sqref="B1" xr:uid="{00000000-0002-0000-0500-000005000000}"/>
    <dataValidation allowBlank="1" showInputMessage="1" showErrorMessage="1" prompt="The letter &quot;V&quot; indicates absence due to vacation" sqref="C2" xr:uid="{00000000-0002-0000-0500-000006000000}"/>
    <dataValidation allowBlank="1" showInputMessage="1" showErrorMessage="1" prompt="The letter &quot;P&quot; indicates absence due to personal reasons" sqref="G2" xr:uid="{00000000-0002-0000-0500-000007000000}"/>
    <dataValidation allowBlank="1" showInputMessage="1" showErrorMessage="1" prompt="The letter &quot;S&quot; indicates absence due to illness" sqref="K2" xr:uid="{00000000-0002-0000-0500-000008000000}"/>
    <dataValidation allowBlank="1" showInputMessage="1" showErrorMessage="1" prompt="Enter a letter and customize the label at right to add another key item" sqref="N2 R2" xr:uid="{00000000-0002-0000-0500-000009000000}"/>
    <dataValidation allowBlank="1" showInputMessage="1" showErrorMessage="1" prompt="Enter a label to describe the custom key at left" sqref="O2:Q2 S2:U2" xr:uid="{00000000-0002-0000-0500-00000A000000}"/>
    <dataValidation allowBlank="1" showInputMessage="1" showErrorMessage="1" prompt="This row defines the keys used in the table: cell C2 is Vacation, G2 is Personal, &amp; K2 is Sick leave. Cells N2 &amp; R2 are customizable " sqref="B2" xr:uid="{00000000-0002-0000-0500-00000B000000}"/>
    <dataValidation allowBlank="1" showInputMessage="1" showErrorMessage="1" prompt="Month name for this absence schedule is in this cell. Absence totals for this month are in last cell of the table. Select employee names in table column B" sqref="B4"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5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B7:B11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56</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TEXT(WEEKDAY(DATE(CalendarYear,7,1),1),"aaa")</f>
        <v>Fri</v>
      </c>
      <c r="D5" s="2" t="str">
        <f>TEXT(WEEKDAY(DATE(CalendarYear,7,2),1),"aaa")</f>
        <v>Sat</v>
      </c>
      <c r="E5" s="2" t="str">
        <f>TEXT(WEEKDAY(DATE(CalendarYear,7,3),1),"aaa")</f>
        <v>Sun</v>
      </c>
      <c r="F5" s="2" t="str">
        <f>TEXT(WEEKDAY(DATE(CalendarYear,7,4),1),"aaa")</f>
        <v>Mon</v>
      </c>
      <c r="G5" s="2" t="str">
        <f>TEXT(WEEKDAY(DATE(CalendarYear,7,5),1),"aaa")</f>
        <v>Tue</v>
      </c>
      <c r="H5" s="2" t="str">
        <f>TEXT(WEEKDAY(DATE(CalendarYear,7,6),1),"aaa")</f>
        <v>Wed</v>
      </c>
      <c r="I5" s="2" t="str">
        <f>TEXT(WEEKDAY(DATE(CalendarYear,7,7),1),"aaa")</f>
        <v>Thu</v>
      </c>
      <c r="J5" s="2" t="str">
        <f>TEXT(WEEKDAY(DATE(CalendarYear,7,8),1),"aaa")</f>
        <v>Fri</v>
      </c>
      <c r="K5" s="2" t="str">
        <f>TEXT(WEEKDAY(DATE(CalendarYear,7,9),1),"aaa")</f>
        <v>Sat</v>
      </c>
      <c r="L5" s="2" t="str">
        <f>TEXT(WEEKDAY(DATE(CalendarYear,7,10),1),"aaa")</f>
        <v>Sun</v>
      </c>
      <c r="M5" s="2" t="str">
        <f>TEXT(WEEKDAY(DATE(CalendarYear,7,11),1),"aaa")</f>
        <v>Mon</v>
      </c>
      <c r="N5" s="2" t="str">
        <f>TEXT(WEEKDAY(DATE(CalendarYear,7,12),1),"aaa")</f>
        <v>Tue</v>
      </c>
      <c r="O5" s="2" t="str">
        <f>TEXT(WEEKDAY(DATE(CalendarYear,7,13),1),"aaa")</f>
        <v>Wed</v>
      </c>
      <c r="P5" s="2" t="str">
        <f>TEXT(WEEKDAY(DATE(CalendarYear,7,14),1),"aaa")</f>
        <v>Thu</v>
      </c>
      <c r="Q5" s="2" t="str">
        <f>TEXT(WEEKDAY(DATE(CalendarYear,7,15),1),"aaa")</f>
        <v>Fri</v>
      </c>
      <c r="R5" s="2" t="str">
        <f>TEXT(WEEKDAY(DATE(CalendarYear,7,16),1),"aaa")</f>
        <v>Sat</v>
      </c>
      <c r="S5" s="2" t="str">
        <f>TEXT(WEEKDAY(DATE(CalendarYear,7,17),1),"aaa")</f>
        <v>Sun</v>
      </c>
      <c r="T5" s="2" t="str">
        <f>TEXT(WEEKDAY(DATE(CalendarYear,7,18),1),"aaa")</f>
        <v>Mon</v>
      </c>
      <c r="U5" s="2" t="str">
        <f>TEXT(WEEKDAY(DATE(CalendarYear,7,19),1),"aaa")</f>
        <v>Tue</v>
      </c>
      <c r="V5" s="2" t="str">
        <f>TEXT(WEEKDAY(DATE(CalendarYear,7,20),1),"aaa")</f>
        <v>Wed</v>
      </c>
      <c r="W5" s="2" t="str">
        <f>TEXT(WEEKDAY(DATE(CalendarYear,7,21),1),"aaa")</f>
        <v>Thu</v>
      </c>
      <c r="X5" s="2" t="str">
        <f>TEXT(WEEKDAY(DATE(CalendarYear,7,22),1),"aaa")</f>
        <v>Fri</v>
      </c>
      <c r="Y5" s="2" t="str">
        <f>TEXT(WEEKDAY(DATE(CalendarYear,7,23),1),"aaa")</f>
        <v>Sat</v>
      </c>
      <c r="Z5" s="2" t="str">
        <f>TEXT(WEEKDAY(DATE(CalendarYear,7,24),1),"aaa")</f>
        <v>Sun</v>
      </c>
      <c r="AA5" s="2" t="str">
        <f>TEXT(WEEKDAY(DATE(CalendarYear,7,25),1),"aaa")</f>
        <v>Mon</v>
      </c>
      <c r="AB5" s="2" t="str">
        <f>TEXT(WEEKDAY(DATE(CalendarYear,7,26),1),"aaa")</f>
        <v>Tue</v>
      </c>
      <c r="AC5" s="2" t="str">
        <f>TEXT(WEEKDAY(DATE(CalendarYear,7,27),1),"aaa")</f>
        <v>Wed</v>
      </c>
      <c r="AD5" s="2" t="str">
        <f>TEXT(WEEKDAY(DATE(CalendarYear,7,28),1),"aaa")</f>
        <v>Thu</v>
      </c>
      <c r="AE5" s="2" t="str">
        <f>TEXT(WEEKDAY(DATE(CalendarYear,7,29),1),"aaa")</f>
        <v>Fri</v>
      </c>
      <c r="AF5" s="2" t="str">
        <f>TEXT(WEEKDAY(DATE(CalendarYear,7,30),1),"aaa")</f>
        <v>Sat</v>
      </c>
      <c r="AG5" s="2" t="str">
        <f>TEXT(WEEKDAY(DATE(CalendarYear,7,31),1),"aaa")</f>
        <v>Sun</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COUNTA(July[[#This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COUNTA(July[[#This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COUNTA(July[[#This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COUNTA(July[[#This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COUNTA(July[[#This Row],[1]:[31]])</f>
        <v>0</v>
      </c>
    </row>
    <row r="12" spans="2:34" ht="30" customHeight="1" x14ac:dyDescent="0.25">
      <c r="B12" s="21" t="str">
        <f>MonthName&amp;" Total"</f>
        <v>July Total</v>
      </c>
      <c r="C12" s="13">
        <f>SUBTOTAL(103,July[1])</f>
        <v>0</v>
      </c>
      <c r="D12" s="13">
        <f>SUBTOTAL(103,July[2])</f>
        <v>0</v>
      </c>
      <c r="E12" s="13">
        <f>SUBTOTAL(103,July[3])</f>
        <v>0</v>
      </c>
      <c r="F12" s="13">
        <f>SUBTOTAL(103,July[4])</f>
        <v>0</v>
      </c>
      <c r="G12" s="13">
        <f>SUBTOTAL(103,July[5])</f>
        <v>0</v>
      </c>
      <c r="H12" s="13">
        <f>SUBTOTAL(103,July[6])</f>
        <v>0</v>
      </c>
      <c r="I12" s="13">
        <f>SUBTOTAL(103,July[7])</f>
        <v>0</v>
      </c>
      <c r="J12" s="13">
        <f>SUBTOTAL(103,July[8])</f>
        <v>0</v>
      </c>
      <c r="K12" s="13">
        <f>SUBTOTAL(103,July[9])</f>
        <v>0</v>
      </c>
      <c r="L12" s="13">
        <f>SUBTOTAL(103,July[10])</f>
        <v>0</v>
      </c>
      <c r="M12" s="13">
        <f>SUBTOTAL(103,July[11])</f>
        <v>0</v>
      </c>
      <c r="N12" s="13">
        <f>SUBTOTAL(103,July[12])</f>
        <v>0</v>
      </c>
      <c r="O12" s="13">
        <f>SUBTOTAL(103,July[13])</f>
        <v>0</v>
      </c>
      <c r="P12" s="13">
        <f>SUBTOTAL(103,July[14])</f>
        <v>0</v>
      </c>
      <c r="Q12" s="13">
        <f>SUBTOTAL(103,July[15])</f>
        <v>0</v>
      </c>
      <c r="R12" s="13">
        <f>SUBTOTAL(103,July[16])</f>
        <v>0</v>
      </c>
      <c r="S12" s="13">
        <f>SUBTOTAL(103,July[17])</f>
        <v>0</v>
      </c>
      <c r="T12" s="13">
        <f>SUBTOTAL(103,July[18])</f>
        <v>0</v>
      </c>
      <c r="U12" s="13">
        <f>SUBTOTAL(103,July[19])</f>
        <v>0</v>
      </c>
      <c r="V12" s="13">
        <f>SUBTOTAL(103,July[20])</f>
        <v>0</v>
      </c>
      <c r="W12" s="13">
        <f>SUBTOTAL(103,July[21])</f>
        <v>0</v>
      </c>
      <c r="X12" s="13">
        <f>SUBTOTAL(103,July[22])</f>
        <v>0</v>
      </c>
      <c r="Y12" s="13">
        <f>SUBTOTAL(103,July[23])</f>
        <v>0</v>
      </c>
      <c r="Z12" s="13">
        <f>SUBTOTAL(103,July[24])</f>
        <v>0</v>
      </c>
      <c r="AA12" s="13">
        <f>SUBTOTAL(103,July[25])</f>
        <v>0</v>
      </c>
      <c r="AB12" s="13">
        <f>SUBTOTAL(103,July[26])</f>
        <v>0</v>
      </c>
      <c r="AC12" s="13">
        <f>SUBTOTAL(103,July[27])</f>
        <v>0</v>
      </c>
      <c r="AD12" s="13">
        <f>SUBTOTAL(103,July[28])</f>
        <v>0</v>
      </c>
      <c r="AE12" s="13">
        <f>SUBTOTAL(103,July[29])</f>
        <v>0</v>
      </c>
      <c r="AF12" s="13">
        <f>SUBTOTAL(109,July[30])</f>
        <v>0</v>
      </c>
      <c r="AG12" s="13">
        <f>SUBTOTAL(109,July[31])</f>
        <v>0</v>
      </c>
      <c r="AH12" s="13">
        <f>SUBTOTAL(109,July[Total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9" priority="2" stopIfTrue="1">
      <formula>C7=KeyCustom2</formula>
    </cfRule>
    <cfRule type="expression" dxfId="28" priority="3" stopIfTrue="1">
      <formula>C7=KeyCustom1</formula>
    </cfRule>
    <cfRule type="expression" dxfId="27" priority="4" stopIfTrue="1">
      <formula>C7=KeySick</formula>
    </cfRule>
    <cfRule type="expression" dxfId="26" priority="5" stopIfTrue="1">
      <formula>C7=KeyPersonal</formula>
    </cfRule>
    <cfRule type="expression" dxfId="2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600-000000000000}"/>
    <dataValidation allowBlank="1" showInputMessage="1" showErrorMessage="1" prompt="Month name for this absence schedule is in this cell. Absence totals for this month are in last cell of the table. Select employee names in table column B" sqref="B4" xr:uid="{00000000-0002-0000-0600-000001000000}"/>
    <dataValidation allowBlank="1" showInputMessage="1" showErrorMessage="1" prompt="This row defines the keys used in the table: cell C2 is Vacation, G2 is Personal, &amp; K2 is Sick leave. Cells N2 &amp; R2 are customizable " sqref="B2" xr:uid="{00000000-0002-0000-0600-000002000000}"/>
    <dataValidation allowBlank="1" showInputMessage="1" showErrorMessage="1" prompt="Enter a label to describe the custom key at left" sqref="O2:Q2 S2:U2" xr:uid="{00000000-0002-0000-0600-000003000000}"/>
    <dataValidation allowBlank="1" showInputMessage="1" showErrorMessage="1" prompt="Enter a letter and customize the label at right to add another key item" sqref="N2 R2" xr:uid="{00000000-0002-0000-0600-000004000000}"/>
    <dataValidation allowBlank="1" showInputMessage="1" showErrorMessage="1" prompt="The letter &quot;S&quot; indicates absence due to illness" sqref="K2" xr:uid="{00000000-0002-0000-0600-000005000000}"/>
    <dataValidation allowBlank="1" showInputMessage="1" showErrorMessage="1" prompt="The letter &quot;P&quot; indicates absence due to personal reasons" sqref="G2" xr:uid="{00000000-0002-0000-0600-000006000000}"/>
    <dataValidation allowBlank="1" showInputMessage="1" showErrorMessage="1" prompt="The letter &quot;V&quot; indicates absence due to vacation" sqref="C2" xr:uid="{00000000-0002-0000-0600-000007000000}"/>
    <dataValidation allowBlank="1" showInputMessage="1" showErrorMessage="1" prompt="Automatically updated title is in this cell. To modify the title, update B1 on January worksheet" sqref="B1"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600-000009000000}"/>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6" xr:uid="{00000000-0002-0000-0600-00000B000000}"/>
    <dataValidation allowBlank="1" showInputMessage="1" showErrorMessage="1" prompt="Automatically updated year based on year entered in January worksheet" sqref="AH4"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6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B7:B11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749992370372631"/>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57</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TEXT(WEEKDAY(DATE(CalendarYear,8,1),1),"aaa")</f>
        <v>Mon</v>
      </c>
      <c r="D5" s="2" t="str">
        <f>TEXT(WEEKDAY(DATE(CalendarYear,8,2),1),"aaa")</f>
        <v>Tue</v>
      </c>
      <c r="E5" s="2" t="str">
        <f>TEXT(WEEKDAY(DATE(CalendarYear,8,3),1),"aaa")</f>
        <v>Wed</v>
      </c>
      <c r="F5" s="2" t="str">
        <f>TEXT(WEEKDAY(DATE(CalendarYear,8,4),1),"aaa")</f>
        <v>Thu</v>
      </c>
      <c r="G5" s="2" t="str">
        <f>TEXT(WEEKDAY(DATE(CalendarYear,8,5),1),"aaa")</f>
        <v>Fri</v>
      </c>
      <c r="H5" s="2" t="str">
        <f>TEXT(WEEKDAY(DATE(CalendarYear,8,6),1),"aaa")</f>
        <v>Sat</v>
      </c>
      <c r="I5" s="2" t="str">
        <f>TEXT(WEEKDAY(DATE(CalendarYear,8,7),1),"aaa")</f>
        <v>Sun</v>
      </c>
      <c r="J5" s="2" t="str">
        <f>TEXT(WEEKDAY(DATE(CalendarYear,8,8),1),"aaa")</f>
        <v>Mon</v>
      </c>
      <c r="K5" s="2" t="str">
        <f>TEXT(WEEKDAY(DATE(CalendarYear,8,9),1),"aaa")</f>
        <v>Tue</v>
      </c>
      <c r="L5" s="2" t="str">
        <f>TEXT(WEEKDAY(DATE(CalendarYear,8,10),1),"aaa")</f>
        <v>Wed</v>
      </c>
      <c r="M5" s="2" t="str">
        <f>TEXT(WEEKDAY(DATE(CalendarYear,8,11),1),"aaa")</f>
        <v>Thu</v>
      </c>
      <c r="N5" s="2" t="str">
        <f>TEXT(WEEKDAY(DATE(CalendarYear,8,12),1),"aaa")</f>
        <v>Fri</v>
      </c>
      <c r="O5" s="2" t="str">
        <f>TEXT(WEEKDAY(DATE(CalendarYear,8,13),1),"aaa")</f>
        <v>Sat</v>
      </c>
      <c r="P5" s="2" t="str">
        <f>TEXT(WEEKDAY(DATE(CalendarYear,8,14),1),"aaa")</f>
        <v>Sun</v>
      </c>
      <c r="Q5" s="2" t="str">
        <f>TEXT(WEEKDAY(DATE(CalendarYear,8,15),1),"aaa")</f>
        <v>Mon</v>
      </c>
      <c r="R5" s="2" t="str">
        <f>TEXT(WEEKDAY(DATE(CalendarYear,8,16),1),"aaa")</f>
        <v>Tue</v>
      </c>
      <c r="S5" s="2" t="str">
        <f>TEXT(WEEKDAY(DATE(CalendarYear,8,17),1),"aaa")</f>
        <v>Wed</v>
      </c>
      <c r="T5" s="2" t="str">
        <f>TEXT(WEEKDAY(DATE(CalendarYear,8,18),1),"aaa")</f>
        <v>Thu</v>
      </c>
      <c r="U5" s="2" t="str">
        <f>TEXT(WEEKDAY(DATE(CalendarYear,8,19),1),"aaa")</f>
        <v>Fri</v>
      </c>
      <c r="V5" s="2" t="str">
        <f>TEXT(WEEKDAY(DATE(CalendarYear,8,20),1),"aaa")</f>
        <v>Sat</v>
      </c>
      <c r="W5" s="2" t="str">
        <f>TEXT(WEEKDAY(DATE(CalendarYear,8,21),1),"aaa")</f>
        <v>Sun</v>
      </c>
      <c r="X5" s="2" t="str">
        <f>TEXT(WEEKDAY(DATE(CalendarYear,8,22),1),"aaa")</f>
        <v>Mon</v>
      </c>
      <c r="Y5" s="2" t="str">
        <f>TEXT(WEEKDAY(DATE(CalendarYear,8,23),1),"aaa")</f>
        <v>Tue</v>
      </c>
      <c r="Z5" s="2" t="str">
        <f>TEXT(WEEKDAY(DATE(CalendarYear,8,24),1),"aaa")</f>
        <v>Wed</v>
      </c>
      <c r="AA5" s="2" t="str">
        <f>TEXT(WEEKDAY(DATE(CalendarYear,8,25),1),"aaa")</f>
        <v>Thu</v>
      </c>
      <c r="AB5" s="2" t="str">
        <f>TEXT(WEEKDAY(DATE(CalendarYear,8,26),1),"aaa")</f>
        <v>Fri</v>
      </c>
      <c r="AC5" s="2" t="str">
        <f>TEXT(WEEKDAY(DATE(CalendarYear,8,27),1),"aaa")</f>
        <v>Sat</v>
      </c>
      <c r="AD5" s="2" t="str">
        <f>TEXT(WEEKDAY(DATE(CalendarYear,8,28),1),"aaa")</f>
        <v>Sun</v>
      </c>
      <c r="AE5" s="2" t="str">
        <f>TEXT(WEEKDAY(DATE(CalendarYear,8,29),1),"aaa")</f>
        <v>Mon</v>
      </c>
      <c r="AF5" s="2" t="str">
        <f>TEXT(WEEKDAY(DATE(CalendarYear,8,30),1),"aaa")</f>
        <v>Tue</v>
      </c>
      <c r="AG5" s="2" t="str">
        <f>TEXT(WEEKDAY(DATE(CalendarYear,8,31),1),"aaa")</f>
        <v>Wed</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COUNTA(August[[#This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COUNTA(August[[#This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COUNTA(August[[#This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COUNTA(August[[#This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COUNTA(August[[#This Row],[1]:[31]])</f>
        <v>0</v>
      </c>
    </row>
    <row r="12" spans="2:34" ht="30" customHeight="1" x14ac:dyDescent="0.25">
      <c r="B12" s="21" t="str">
        <f>MonthName&amp;" Total"</f>
        <v>August Total</v>
      </c>
      <c r="C12" s="13">
        <f>SUBTOTAL(103,August[1])</f>
        <v>0</v>
      </c>
      <c r="D12" s="13">
        <f>SUBTOTAL(103,August[2])</f>
        <v>0</v>
      </c>
      <c r="E12" s="13">
        <f>SUBTOTAL(103,August[3])</f>
        <v>0</v>
      </c>
      <c r="F12" s="13">
        <f>SUBTOTAL(103,August[4])</f>
        <v>0</v>
      </c>
      <c r="G12" s="13">
        <f>SUBTOTAL(103,August[5])</f>
        <v>0</v>
      </c>
      <c r="H12" s="13">
        <f>SUBTOTAL(103,August[6])</f>
        <v>0</v>
      </c>
      <c r="I12" s="13">
        <f>SUBTOTAL(103,August[7])</f>
        <v>0</v>
      </c>
      <c r="J12" s="13">
        <f>SUBTOTAL(103,August[8])</f>
        <v>0</v>
      </c>
      <c r="K12" s="13">
        <f>SUBTOTAL(103,August[9])</f>
        <v>0</v>
      </c>
      <c r="L12" s="13">
        <f>SUBTOTAL(103,August[10])</f>
        <v>0</v>
      </c>
      <c r="M12" s="13">
        <f>SUBTOTAL(103,August[11])</f>
        <v>0</v>
      </c>
      <c r="N12" s="13">
        <f>SUBTOTAL(103,August[12])</f>
        <v>0</v>
      </c>
      <c r="O12" s="13">
        <f>SUBTOTAL(103,August[13])</f>
        <v>0</v>
      </c>
      <c r="P12" s="13">
        <f>SUBTOTAL(103,August[14])</f>
        <v>0</v>
      </c>
      <c r="Q12" s="13">
        <f>SUBTOTAL(103,August[15])</f>
        <v>0</v>
      </c>
      <c r="R12" s="13">
        <f>SUBTOTAL(103,August[16])</f>
        <v>0</v>
      </c>
      <c r="S12" s="13">
        <f>SUBTOTAL(103,August[17])</f>
        <v>0</v>
      </c>
      <c r="T12" s="13">
        <f>SUBTOTAL(103,August[18])</f>
        <v>0</v>
      </c>
      <c r="U12" s="13">
        <f>SUBTOTAL(103,August[19])</f>
        <v>0</v>
      </c>
      <c r="V12" s="13">
        <f>SUBTOTAL(103,August[20])</f>
        <v>0</v>
      </c>
      <c r="W12" s="13">
        <f>SUBTOTAL(103,August[21])</f>
        <v>0</v>
      </c>
      <c r="X12" s="13">
        <f>SUBTOTAL(103,August[22])</f>
        <v>0</v>
      </c>
      <c r="Y12" s="13">
        <f>SUBTOTAL(103,August[23])</f>
        <v>0</v>
      </c>
      <c r="Z12" s="13">
        <f>SUBTOTAL(103,August[24])</f>
        <v>0</v>
      </c>
      <c r="AA12" s="13">
        <f>SUBTOTAL(103,August[25])</f>
        <v>0</v>
      </c>
      <c r="AB12" s="13">
        <f>SUBTOTAL(103,August[26])</f>
        <v>0</v>
      </c>
      <c r="AC12" s="13">
        <f>SUBTOTAL(103,August[27])</f>
        <v>0</v>
      </c>
      <c r="AD12" s="13">
        <f>SUBTOTAL(103,August[28])</f>
        <v>0</v>
      </c>
      <c r="AE12" s="13">
        <f>SUBTOTAL(103,August[29])</f>
        <v>0</v>
      </c>
      <c r="AF12" s="13">
        <f>SUBTOTAL(109,August[30])</f>
        <v>0</v>
      </c>
      <c r="AG12" s="13">
        <f>SUBTOTAL(109,August[31])</f>
        <v>0</v>
      </c>
      <c r="AH12" s="13">
        <f>SUBTOTAL(109,August[Total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4" priority="2" stopIfTrue="1">
      <formula>C7=KeyCustom2</formula>
    </cfRule>
    <cfRule type="expression" dxfId="23" priority="3" stopIfTrue="1">
      <formula>C7=KeyCustom1</formula>
    </cfRule>
    <cfRule type="expression" dxfId="22" priority="4" stopIfTrue="1">
      <formula>C7=KeySick</formula>
    </cfRule>
    <cfRule type="expression" dxfId="21" priority="5" stopIfTrue="1">
      <formula>C7=KeyPersonal</formula>
    </cfRule>
    <cfRule type="expression" dxfId="20"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700-000000000000}"/>
    <dataValidation allowBlank="1" showInputMessage="1" showErrorMessage="1" prompt="Automatically updated year based on year entered in January worksheet" sqref="AH4" xr:uid="{00000000-0002-0000-0700-000001000000}"/>
    <dataValidation allowBlank="1" showInputMessage="1" showErrorMessage="1" prompt="Automatically calculates total number of days an employee was absent this month in this column" sqref="AH6" xr:uid="{00000000-0002-0000-0700-000002000000}"/>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700-000004000000}"/>
    <dataValidation allowBlank="1" showInputMessage="1" showErrorMessage="1" prompt="Automatically updated title is in this cell. To modify the title, update B1 on January worksheet" sqref="B1" xr:uid="{00000000-0002-0000-0700-000005000000}"/>
    <dataValidation allowBlank="1" showInputMessage="1" showErrorMessage="1" prompt="The letter &quot;V&quot; indicates absence due to vacation" sqref="C2" xr:uid="{00000000-0002-0000-0700-000006000000}"/>
    <dataValidation allowBlank="1" showInputMessage="1" showErrorMessage="1" prompt="The letter &quot;P&quot; indicates absence due to personal reasons" sqref="G2" xr:uid="{00000000-0002-0000-0700-000007000000}"/>
    <dataValidation allowBlank="1" showInputMessage="1" showErrorMessage="1" prompt="The letter &quot;S&quot; indicates absence due to illness" sqref="K2" xr:uid="{00000000-0002-0000-0700-000008000000}"/>
    <dataValidation allowBlank="1" showInputMessage="1" showErrorMessage="1" prompt="Enter a letter and customize the label at right to add another key item" sqref="N2 R2" xr:uid="{00000000-0002-0000-0700-000009000000}"/>
    <dataValidation allowBlank="1" showInputMessage="1" showErrorMessage="1" prompt="Enter a label to describe the custom key at left" sqref="O2:Q2 S2:U2" xr:uid="{00000000-0002-0000-0700-00000A000000}"/>
    <dataValidation allowBlank="1" showInputMessage="1" showErrorMessage="1" prompt="This row defines the keys used in the table: cell C2 is Vacation, G2 is Personal, &amp; K2 is Sick leave. Cells N2 &amp; R2 are customizable " sqref="B2" xr:uid="{00000000-0002-0000-0700-00000B000000}"/>
    <dataValidation allowBlank="1" showInputMessage="1" showErrorMessage="1" prompt="Month name for this absence schedule is in this cell. Absence totals for this month are in last cell of the table. Select employee names in table column B" sqref="B4"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7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B7:B11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58</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TEXT(WEEKDAY(DATE(CalendarYear,9,1),1),"aaa")</f>
        <v>Thu</v>
      </c>
      <c r="D5" s="2" t="str">
        <f>TEXT(WEEKDAY(DATE(CalendarYear,9,2),1),"aaa")</f>
        <v>Fri</v>
      </c>
      <c r="E5" s="2" t="str">
        <f>TEXT(WEEKDAY(DATE(CalendarYear,9,3),1),"aaa")</f>
        <v>Sat</v>
      </c>
      <c r="F5" s="2" t="str">
        <f>TEXT(WEEKDAY(DATE(CalendarYear,9,4),1),"aaa")</f>
        <v>Sun</v>
      </c>
      <c r="G5" s="2" t="str">
        <f>TEXT(WEEKDAY(DATE(CalendarYear,9,5),1),"aaa")</f>
        <v>Mon</v>
      </c>
      <c r="H5" s="2" t="str">
        <f>TEXT(WEEKDAY(DATE(CalendarYear,9,6),1),"aaa")</f>
        <v>Tue</v>
      </c>
      <c r="I5" s="2" t="str">
        <f>TEXT(WEEKDAY(DATE(CalendarYear,9,7),1),"aaa")</f>
        <v>Wed</v>
      </c>
      <c r="J5" s="2" t="str">
        <f>TEXT(WEEKDAY(DATE(CalendarYear,9,8),1),"aaa")</f>
        <v>Thu</v>
      </c>
      <c r="K5" s="2" t="str">
        <f>TEXT(WEEKDAY(DATE(CalendarYear,9,9),1),"aaa")</f>
        <v>Fri</v>
      </c>
      <c r="L5" s="2" t="str">
        <f>TEXT(WEEKDAY(DATE(CalendarYear,9,10),1),"aaa")</f>
        <v>Sat</v>
      </c>
      <c r="M5" s="2" t="str">
        <f>TEXT(WEEKDAY(DATE(CalendarYear,9,11),1),"aaa")</f>
        <v>Sun</v>
      </c>
      <c r="N5" s="2" t="str">
        <f>TEXT(WEEKDAY(DATE(CalendarYear,9,12),1),"aaa")</f>
        <v>Mon</v>
      </c>
      <c r="O5" s="2" t="str">
        <f>TEXT(WEEKDAY(DATE(CalendarYear,9,13),1),"aaa")</f>
        <v>Tue</v>
      </c>
      <c r="P5" s="2" t="str">
        <f>TEXT(WEEKDAY(DATE(CalendarYear,9,14),1),"aaa")</f>
        <v>Wed</v>
      </c>
      <c r="Q5" s="2" t="str">
        <f>TEXT(WEEKDAY(DATE(CalendarYear,9,15),1),"aaa")</f>
        <v>Thu</v>
      </c>
      <c r="R5" s="2" t="str">
        <f>TEXT(WEEKDAY(DATE(CalendarYear,9,16),1),"aaa")</f>
        <v>Fri</v>
      </c>
      <c r="S5" s="2" t="str">
        <f>TEXT(WEEKDAY(DATE(CalendarYear,9,17),1),"aaa")</f>
        <v>Sat</v>
      </c>
      <c r="T5" s="2" t="str">
        <f>TEXT(WEEKDAY(DATE(CalendarYear,9,18),1),"aaa")</f>
        <v>Sun</v>
      </c>
      <c r="U5" s="2" t="str">
        <f>TEXT(WEEKDAY(DATE(CalendarYear,9,19),1),"aaa")</f>
        <v>Mon</v>
      </c>
      <c r="V5" s="2" t="str">
        <f>TEXT(WEEKDAY(DATE(CalendarYear,9,20),1),"aaa")</f>
        <v>Tue</v>
      </c>
      <c r="W5" s="2" t="str">
        <f>TEXT(WEEKDAY(DATE(CalendarYear,9,21),1),"aaa")</f>
        <v>Wed</v>
      </c>
      <c r="X5" s="2" t="str">
        <f>TEXT(WEEKDAY(DATE(CalendarYear,9,22),1),"aaa")</f>
        <v>Thu</v>
      </c>
      <c r="Y5" s="2" t="str">
        <f>TEXT(WEEKDAY(DATE(CalendarYear,9,23),1),"aaa")</f>
        <v>Fri</v>
      </c>
      <c r="Z5" s="2" t="str">
        <f>TEXT(WEEKDAY(DATE(CalendarYear,9,24),1),"aaa")</f>
        <v>Sat</v>
      </c>
      <c r="AA5" s="2" t="str">
        <f>TEXT(WEEKDAY(DATE(CalendarYear,9,25),1),"aaa")</f>
        <v>Sun</v>
      </c>
      <c r="AB5" s="2" t="str">
        <f>TEXT(WEEKDAY(DATE(CalendarYear,9,26),1),"aaa")</f>
        <v>Mon</v>
      </c>
      <c r="AC5" s="2" t="str">
        <f>TEXT(WEEKDAY(DATE(CalendarYear,9,27),1),"aaa")</f>
        <v>Tue</v>
      </c>
      <c r="AD5" s="2" t="str">
        <f>TEXT(WEEKDAY(DATE(CalendarYear,9,28),1),"aaa")</f>
        <v>Wed</v>
      </c>
      <c r="AE5" s="2" t="str">
        <f>TEXT(WEEKDAY(DATE(CalendarYear,9,29),1),"aaa")</f>
        <v>Thu</v>
      </c>
      <c r="AF5" s="2" t="str">
        <f>TEXT(WEEKDAY(DATE(CalendarYear,9,30),1),"aaa")</f>
        <v>Fri</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COUNTA(September[[#This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COUNTA(September[[#This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COUNTA(September[[#This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COUNTA(September[[#This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COUNTA(September[[#This Row],[1]:[31]])</f>
        <v>0</v>
      </c>
    </row>
    <row r="12" spans="2:34" ht="30" customHeight="1" x14ac:dyDescent="0.25">
      <c r="B12" s="21" t="str">
        <f>MonthName&amp;" Total"</f>
        <v>September Total</v>
      </c>
      <c r="C12" s="13">
        <f>SUBTOTAL(103,September[1])</f>
        <v>0</v>
      </c>
      <c r="D12" s="13">
        <f>SUBTOTAL(103,September[2])</f>
        <v>0</v>
      </c>
      <c r="E12" s="13">
        <f>SUBTOTAL(103,September[3])</f>
        <v>0</v>
      </c>
      <c r="F12" s="13">
        <f>SUBTOTAL(103,September[4])</f>
        <v>0</v>
      </c>
      <c r="G12" s="13">
        <f>SUBTOTAL(103,September[5])</f>
        <v>0</v>
      </c>
      <c r="H12" s="13">
        <f>SUBTOTAL(103,September[6])</f>
        <v>0</v>
      </c>
      <c r="I12" s="13">
        <f>SUBTOTAL(103,September[7])</f>
        <v>0</v>
      </c>
      <c r="J12" s="13">
        <f>SUBTOTAL(103,September[8])</f>
        <v>0</v>
      </c>
      <c r="K12" s="13">
        <f>SUBTOTAL(103,September[9])</f>
        <v>0</v>
      </c>
      <c r="L12" s="13">
        <f>SUBTOTAL(103,September[10])</f>
        <v>0</v>
      </c>
      <c r="M12" s="13">
        <f>SUBTOTAL(103,September[11])</f>
        <v>0</v>
      </c>
      <c r="N12" s="13">
        <f>SUBTOTAL(103,September[12])</f>
        <v>0</v>
      </c>
      <c r="O12" s="13">
        <f>SUBTOTAL(103,September[13])</f>
        <v>0</v>
      </c>
      <c r="P12" s="13">
        <f>SUBTOTAL(103,September[14])</f>
        <v>0</v>
      </c>
      <c r="Q12" s="13">
        <f>SUBTOTAL(103,September[15])</f>
        <v>0</v>
      </c>
      <c r="R12" s="13">
        <f>SUBTOTAL(103,September[16])</f>
        <v>0</v>
      </c>
      <c r="S12" s="13">
        <f>SUBTOTAL(103,September[17])</f>
        <v>0</v>
      </c>
      <c r="T12" s="13">
        <f>SUBTOTAL(103,September[18])</f>
        <v>0</v>
      </c>
      <c r="U12" s="13">
        <f>SUBTOTAL(103,September[19])</f>
        <v>0</v>
      </c>
      <c r="V12" s="13">
        <f>SUBTOTAL(103,September[20])</f>
        <v>0</v>
      </c>
      <c r="W12" s="13">
        <f>SUBTOTAL(103,September[21])</f>
        <v>0</v>
      </c>
      <c r="X12" s="13">
        <f>SUBTOTAL(103,September[22])</f>
        <v>0</v>
      </c>
      <c r="Y12" s="13">
        <f>SUBTOTAL(103,September[23])</f>
        <v>0</v>
      </c>
      <c r="Z12" s="13">
        <f>SUBTOTAL(103,September[24])</f>
        <v>0</v>
      </c>
      <c r="AA12" s="13">
        <f>SUBTOTAL(103,September[25])</f>
        <v>0</v>
      </c>
      <c r="AB12" s="13">
        <f>SUBTOTAL(103,September[26])</f>
        <v>0</v>
      </c>
      <c r="AC12" s="13">
        <f>SUBTOTAL(103,September[27])</f>
        <v>0</v>
      </c>
      <c r="AD12" s="13">
        <f>SUBTOTAL(103,September[28])</f>
        <v>0</v>
      </c>
      <c r="AE12" s="13">
        <f>SUBTOTAL(103,September[29])</f>
        <v>0</v>
      </c>
      <c r="AF12" s="13">
        <f>SUBTOTAL(109,September[30])</f>
        <v>0</v>
      </c>
      <c r="AG12" s="13">
        <f>SUBTOTAL(109,September[31])</f>
        <v>0</v>
      </c>
      <c r="AH12" s="13">
        <f>SUBTOTAL(109,September[Total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19" priority="2" stopIfTrue="1">
      <formula>C7=KeyCustom2</formula>
    </cfRule>
    <cfRule type="expression" dxfId="18" priority="3" stopIfTrue="1">
      <formula>C7=KeyCustom1</formula>
    </cfRule>
    <cfRule type="expression" dxfId="17" priority="4" stopIfTrue="1">
      <formula>C7=KeySick</formula>
    </cfRule>
    <cfRule type="expression" dxfId="16" priority="5" stopIfTrue="1">
      <formula>C7=KeyPersonal</formula>
    </cfRule>
    <cfRule type="expression" dxfId="1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800-000000000000}"/>
    <dataValidation allowBlank="1" showInputMessage="1" showErrorMessage="1" prompt="Month name for this absence schedule is in this cell. Absence totals for this month are in last cell of the table. Select employee names in table column B" sqref="B4" xr:uid="{00000000-0002-0000-0800-000001000000}"/>
    <dataValidation allowBlank="1" showInputMessage="1" showErrorMessage="1" prompt="This row defines the keys used in the table: cell C2 is Vacation, G2 is Personal, &amp; K2 is Sick leave. Cells N2 &amp; R2 are customizable " sqref="B2" xr:uid="{00000000-0002-0000-0800-000002000000}"/>
    <dataValidation allowBlank="1" showInputMessage="1" showErrorMessage="1" prompt="Enter a label to describe the custom key at left" sqref="O2:Q2 S2:U2" xr:uid="{00000000-0002-0000-0800-000003000000}"/>
    <dataValidation allowBlank="1" showInputMessage="1" showErrorMessage="1" prompt="Enter a letter and customize the label at right to add another key item" sqref="N2 R2" xr:uid="{00000000-0002-0000-0800-000004000000}"/>
    <dataValidation allowBlank="1" showInputMessage="1" showErrorMessage="1" prompt="The letter &quot;S&quot; indicates absence due to illness" sqref="K2" xr:uid="{00000000-0002-0000-0800-000005000000}"/>
    <dataValidation allowBlank="1" showInputMessage="1" showErrorMessage="1" prompt="The letter &quot;P&quot; indicates absence due to personal reasons" sqref="G2" xr:uid="{00000000-0002-0000-0800-000006000000}"/>
    <dataValidation allowBlank="1" showInputMessage="1" showErrorMessage="1" prompt="The letter &quot;V&quot; indicates absence due to vacation" sqref="C2" xr:uid="{00000000-0002-0000-0800-000007000000}"/>
    <dataValidation allowBlank="1" showInputMessage="1" showErrorMessage="1" prompt="Automatically updated title is in this cell. To modify the title, update B1 on January worksheet" sqref="B1"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800-000009000000}"/>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6" xr:uid="{00000000-0002-0000-0800-00000B000000}"/>
    <dataValidation allowBlank="1" showInputMessage="1" showErrorMessage="1" prompt="Automatically updated year based on year entered in January worksheet" sqref="AH4" xr:uid="{00000000-0002-0000-08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8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B7:B11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50</vt:i4>
      </vt:variant>
    </vt:vector>
  </HeadingPairs>
  <TitlesOfParts>
    <vt:vector size="63" baseType="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CalendarYear</vt:lpstr>
      <vt:lpstr>ColumnTitle13</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Title4</vt:lpstr>
      <vt:lpstr>Title5</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Alex</dc:creator>
  <cp:lastModifiedBy>Alex</cp:lastModifiedBy>
  <cp:lastPrinted>2020-11-09T10:31:02Z</cp:lastPrinted>
  <dcterms:created xsi:type="dcterms:W3CDTF">2016-12-06T04:52:27Z</dcterms:created>
  <dcterms:modified xsi:type="dcterms:W3CDTF">2020-11-09T10:31:59Z</dcterms:modified>
</cp:coreProperties>
</file>